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85" yWindow="-90" windowWidth="7350" windowHeight="9330" tabRatio="669" activeTab="1"/>
  </bookViews>
  <sheets>
    <sheet name="смета 2022" sheetId="3" r:id="rId1"/>
    <sheet name="Отчет по смете" sheetId="2" r:id="rId2"/>
  </sheets>
  <definedNames>
    <definedName name="_xlnm.Print_Area" localSheetId="1">'Отчет по смете'!$A$1:$D$92</definedName>
    <definedName name="_xlnm.Print_Area" localSheetId="0">'смета 2022'!$A$1:$D$88</definedName>
  </definedNames>
  <calcPr calcId="145621"/>
</workbook>
</file>

<file path=xl/calcChain.xml><?xml version="1.0" encoding="utf-8"?>
<calcChain xmlns="http://schemas.openxmlformats.org/spreadsheetml/2006/main">
  <c r="D62" i="2"/>
  <c r="D75"/>
  <c r="C46"/>
  <c r="C71"/>
  <c r="C62"/>
  <c r="C68"/>
  <c r="C103"/>
  <c r="C12"/>
  <c r="D12"/>
  <c r="B85"/>
  <c r="D22"/>
  <c r="D33"/>
  <c r="C33"/>
  <c r="B80" i="3"/>
  <c r="C43"/>
  <c r="D44"/>
  <c r="C44"/>
  <c r="C45"/>
  <c r="C58"/>
  <c r="C66"/>
  <c r="C16"/>
  <c r="C17"/>
  <c r="C18"/>
  <c r="C19"/>
  <c r="C20"/>
  <c r="C21"/>
  <c r="C23"/>
  <c r="C24"/>
  <c r="C25"/>
  <c r="C26"/>
  <c r="C27"/>
  <c r="C29"/>
  <c r="D28"/>
  <c r="C30"/>
  <c r="C10"/>
  <c r="C9"/>
  <c r="D9"/>
  <c r="D22"/>
  <c r="C22"/>
  <c r="C11"/>
  <c r="D56"/>
  <c r="C56"/>
  <c r="C60"/>
  <c r="C31"/>
  <c r="D59"/>
  <c r="C54"/>
  <c r="C59"/>
  <c r="C8"/>
  <c r="D8"/>
  <c r="C5"/>
  <c r="C12"/>
  <c r="D55"/>
  <c r="D14"/>
  <c r="C7"/>
  <c r="D7"/>
  <c r="D15"/>
  <c r="C15"/>
  <c r="C32"/>
  <c r="D32"/>
  <c r="D47"/>
  <c r="D53"/>
  <c r="D5"/>
  <c r="D6"/>
  <c r="D11"/>
  <c r="D10"/>
  <c r="D62"/>
  <c r="D65"/>
  <c r="D61"/>
  <c r="D49"/>
  <c r="D48"/>
  <c r="D46"/>
  <c r="C52"/>
  <c r="C50"/>
  <c r="D50"/>
  <c r="C51"/>
  <c r="D34"/>
  <c r="D35"/>
  <c r="D36"/>
  <c r="D37"/>
  <c r="D38"/>
  <c r="D39"/>
  <c r="D40"/>
  <c r="D41"/>
  <c r="D42"/>
  <c r="D33"/>
  <c r="D45"/>
  <c r="D51"/>
  <c r="D66"/>
  <c r="C70"/>
  <c r="D70"/>
  <c r="C69"/>
  <c r="D69"/>
  <c r="C68"/>
  <c r="D68"/>
  <c r="C71"/>
  <c r="D71"/>
  <c r="D12"/>
  <c r="D67"/>
  <c r="D52"/>
  <c r="D60"/>
  <c r="D68" i="2"/>
  <c r="D46"/>
  <c r="C74"/>
  <c r="C72"/>
  <c r="C73"/>
  <c r="C70"/>
  <c r="C67" i="3"/>
  <c r="C72"/>
  <c r="D72"/>
  <c r="D74"/>
  <c r="C75" i="2"/>
  <c r="C77"/>
  <c r="C76"/>
  <c r="D77"/>
  <c r="D76"/>
  <c r="A87"/>
  <c r="C74" i="3"/>
  <c r="A84"/>
  <c r="A82"/>
  <c r="B86"/>
  <c r="D73"/>
  <c r="C73"/>
  <c r="D79" i="2"/>
  <c r="D78"/>
  <c r="A89"/>
</calcChain>
</file>

<file path=xl/sharedStrings.xml><?xml version="1.0" encoding="utf-8"?>
<sst xmlns="http://schemas.openxmlformats.org/spreadsheetml/2006/main" count="221" uniqueCount="125">
  <si>
    <t>Наименование (назначение) расходов</t>
  </si>
  <si>
    <t>Расходы на организацию освещения  мест общего пользования</t>
  </si>
  <si>
    <t>Приобретение  для текущей замены  в текущем году задвижки, вентиля, краны, сгоны, манометры.</t>
  </si>
  <si>
    <t xml:space="preserve">Дератизация и дезинфекция подвалов, вент каналов  по домам : проспект Труда д.151, проспект Труда д.159, ул.Загородная д.15.  </t>
  </si>
  <si>
    <t>Обеспечение мер пожарной безопасности</t>
  </si>
  <si>
    <t xml:space="preserve">Текущее обслуживание и ремонт общей энергосистемы домов </t>
  </si>
  <si>
    <t>Транспортные расходы</t>
  </si>
  <si>
    <t>Текущий ремонт подъездов  трех  домов входящих в ТСЖ «Новое».</t>
  </si>
  <si>
    <t>Расходы на ОДН по  х/в, г/в, э/э – сверхнормативное .</t>
  </si>
  <si>
    <t xml:space="preserve">Расходы на закупку антимагнитных пломб для счетчиков х/в; г/в; э/э – 283 квартиры в трех домах ТСЖ «Новое». При выходе из строя любого счетчика: х/в, г/в, э/э  происходит замена антимагнитных пломб (основанием для установки антимагнитных пломб является Постановление  Правительства РФ от 06.05.2011г. № 354 ред. от 27.03.2018г. и протоколы  № № 1, 2,3 от 25.04.2016г.  Общего собрания  собственников помещений в МКД  по адресам: проспект Труда д.151, проспект Труда д.159,  ул. Загородная д.15)   </t>
  </si>
  <si>
    <r>
      <t>Подготовка домов к переходу на отопительный сезон эксплуатации (промывка, текущий ремонт,  опрессовка системы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отопления,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оформление актов готовности к отопительному сезону, запуск системы отопления дома)</t>
    </r>
  </si>
  <si>
    <t>Хозяйственные расходы (чистящие, моющие средства перчатки  х/б, резиновые, тряпки для мытья полов, веники, лопаты,  метлы, мешки для  мусора, масло для газонокосилки, бензин для газонокосилки, средство для борьбы с сорняками).</t>
  </si>
  <si>
    <t>Расходы на очистку  проезжей части дворовых территорий от снега  и вывоз снега с территорий ТСЖ «Новое» в зимний период по адресам: проспект Труда д.151, проспект Труда д.159, ул. Загородная д.15 (4 месяца)</t>
  </si>
  <si>
    <t>Электрик 0,5 ст.</t>
  </si>
  <si>
    <t>Разнорабочий</t>
  </si>
  <si>
    <t>ВСЕГО фонд заработной платы</t>
  </si>
  <si>
    <t>Канцелярские расходы</t>
  </si>
  <si>
    <t>Почтовые расходы:</t>
  </si>
  <si>
    <t>Телефонная связь</t>
  </si>
  <si>
    <t>Оформление электронной подписи ежегодно (ключ для введения информации в ГИС ЖКХ).</t>
  </si>
  <si>
    <t>10 000</t>
  </si>
  <si>
    <t>Расходы по договору с ООО РКЦ «Домостроитель»</t>
  </si>
  <si>
    <t>Банковские услуги (комиссии банка за ведение счета)</t>
  </si>
  <si>
    <t>УСНО 6%</t>
  </si>
  <si>
    <t>Взносы в Пенсионный фонд  22%</t>
  </si>
  <si>
    <t>Страховой взнос от НС 0,2%</t>
  </si>
  <si>
    <t>ФСС 2,9%</t>
  </si>
  <si>
    <t>ФФОМС,  5,1%</t>
  </si>
  <si>
    <t>ИТОГО РАСХОДОВ:</t>
  </si>
  <si>
    <t>Инженер 0,7ст.</t>
  </si>
  <si>
    <t xml:space="preserve">Индексация заработной платы работникоам ТСЖ "Новое" ст.5.27 КоАП РФ с 01.01.2018. письмо Роструд № 14-3/В-1135 от 26.12.2017г., при условии, что рост ИПЦ в регионе превысил 2%. При этом используюся официально поубликованные данные ФСГС РФ. </t>
  </si>
  <si>
    <t xml:space="preserve">Дворник (1) 0,6ст. </t>
  </si>
  <si>
    <t xml:space="preserve">Дворник (2)  1ст. </t>
  </si>
  <si>
    <t xml:space="preserve">Уборщица (1) 0,5ст. </t>
  </si>
  <si>
    <t>Уборщица (2) 0,5ст.</t>
  </si>
  <si>
    <t>-</t>
  </si>
  <si>
    <t>Обновление  веб.- сайта</t>
  </si>
  <si>
    <t>Расходы по содержанию и текущему ремонту  общего имущества  в трёх многоквартирных домах</t>
  </si>
  <si>
    <t>Наименование (источник) доходов</t>
  </si>
  <si>
    <t>ИТОГО ДОХОДОВ:</t>
  </si>
  <si>
    <t>Арендная плата</t>
  </si>
  <si>
    <t>Площади помещений в МКД, находящиеся в собственности:</t>
  </si>
  <si>
    <r>
      <t>Дом № 15</t>
    </r>
    <r>
      <rPr>
        <b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   Квартиры – </t>
    </r>
    <r>
      <rPr>
        <b/>
        <sz val="12"/>
        <color indexed="8"/>
        <rFont val="Times New Roman"/>
        <family val="1"/>
        <charset val="204"/>
      </rPr>
      <t>3712,1</t>
    </r>
    <r>
      <rPr>
        <sz val="12"/>
        <color indexed="8"/>
        <rFont val="Times New Roman"/>
        <family val="1"/>
        <charset val="204"/>
      </rPr>
      <t xml:space="preserve"> кв. м.</t>
    </r>
  </si>
  <si>
    <t>В месяц (руб.)</t>
  </si>
  <si>
    <t>В год (руб.)</t>
  </si>
  <si>
    <t>2.Рассылка писем должникам: 10х70= 700руб. (уведомления  заказным письмом)</t>
  </si>
  <si>
    <t>3.Рассылка уведомлений  по судебным делам: 1- 145руб. в месяц</t>
  </si>
  <si>
    <t>Содержание помещения правления Товарищества:</t>
  </si>
  <si>
    <t>2.Аргумент (охранное предприятие)</t>
  </si>
  <si>
    <t>1. По договору  16х24руб.= 384руб. (рассылка писем РСО, провайдерам, Артезианская вода, реклама в лифтах)</t>
  </si>
  <si>
    <t>1. текущий ремонт, электричество, отопление, горячее и холодное водоснабжение, отводы канализации</t>
  </si>
  <si>
    <t>Расходы по договору с Аварийно-спасательной службой "Спасатель"</t>
  </si>
  <si>
    <t>Управленческие расходы</t>
  </si>
  <si>
    <t>Расходы с контрагентами</t>
  </si>
  <si>
    <t>ВСЕГО расходов по содержанию  и текущему ремонту общего имущества</t>
  </si>
  <si>
    <t>Всего по налогам:</t>
  </si>
  <si>
    <t>Всего расходы с контрагентами</t>
  </si>
  <si>
    <t>Благоустройство детской и спортивной площадки (покраска, завоз песка).</t>
  </si>
  <si>
    <r>
      <rPr>
        <b/>
        <sz val="12"/>
        <color indexed="10"/>
        <rFont val="Times New Roman"/>
        <family val="1"/>
        <charset val="204"/>
      </rPr>
      <t>Дефицит</t>
    </r>
    <r>
      <rPr>
        <b/>
        <sz val="12"/>
        <color indexed="8"/>
        <rFont val="Times New Roman"/>
        <family val="1"/>
        <charset val="204"/>
      </rPr>
      <t xml:space="preserve"> средств на 2022год  составляет:</t>
    </r>
  </si>
  <si>
    <t>Прокладка дренажной магистрали  для удаления воздуха из системы отопления  в доме №151 проспект Труда, подъезд №3,4</t>
  </si>
  <si>
    <t>Всего в трех домах в собственности находятся, кв.м.</t>
  </si>
  <si>
    <t>Вознаграждение Председателю Правления (зар. плата) 1ст.</t>
  </si>
  <si>
    <r>
      <rPr>
        <b/>
        <sz val="22"/>
        <color indexed="8"/>
        <rFont val="Times New Roman"/>
        <family val="1"/>
        <charset val="204"/>
      </rPr>
      <t xml:space="preserve">Смета </t>
    </r>
    <r>
      <rPr>
        <b/>
        <sz val="20"/>
        <color indexed="8"/>
        <rFont val="Times New Roman"/>
        <family val="1"/>
        <charset val="204"/>
      </rPr>
      <t>планируемых доходов и расходов ТСЖ "Новое" на 2022 год</t>
    </r>
  </si>
  <si>
    <t>Всего расходов, кроме СР ОИ</t>
  </si>
  <si>
    <t>Расходы по налогам и иным обязательным платежам</t>
  </si>
  <si>
    <t xml:space="preserve">Расходы на прочистку канализационной трубы  (проспект Труда д.151 и д.159, ул. Загородная д.15) </t>
  </si>
  <si>
    <t>Взносы на страхование лифтов</t>
  </si>
  <si>
    <t>Услуги по техническому обследованию газопровода ООО "ВоронежТехноГазСервис"</t>
  </si>
  <si>
    <r>
      <t>Расходы по обновлению и обслуживанию орг. техники, обновление програмного обеспечения</t>
    </r>
    <r>
      <rPr>
        <b/>
        <sz val="10"/>
        <rFont val="Times New Roman"/>
        <family val="1"/>
        <charset val="204"/>
      </rPr>
      <t xml:space="preserve">                                                   </t>
    </r>
  </si>
  <si>
    <t>Резервный фонд: средства на возмещение ущерба собственникам помещений в случае непредвиденных аварий (протечек) в местах общего пользования (крыши, стояки и т.п.) и непредвиденные расходы (незапланированный текущий ремонт в МКД ТСЖ «Новое»).</t>
  </si>
  <si>
    <t>Бухгалтер  1ст. в том числе ведение ГИС ЖКХ 2500р.</t>
  </si>
  <si>
    <t xml:space="preserve">Слесарь-сантехник 1 ст.  </t>
  </si>
  <si>
    <r>
      <t>Дом  № 159 (по тарифу 14 руб. 61 коп./1м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)                                           </t>
    </r>
  </si>
  <si>
    <r>
      <t>Дом № 151 (по тарифу 14 руб. 61 коп. /1м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)                              </t>
    </r>
  </si>
  <si>
    <r>
      <t>Дом № 15   (по тарифу 14руб. 61 коп./1м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)</t>
    </r>
  </si>
  <si>
    <r>
      <rPr>
        <b/>
        <sz val="12"/>
        <color indexed="10"/>
        <rFont val="Times New Roman"/>
        <family val="1"/>
        <charset val="204"/>
      </rPr>
      <t>Дефицит</t>
    </r>
    <r>
      <rPr>
        <b/>
        <sz val="12"/>
        <color indexed="8"/>
        <rFont val="Times New Roman"/>
        <family val="1"/>
        <charset val="204"/>
      </rPr>
      <t xml:space="preserve"> средств с учетом индексации платы за содержание помещения и п.4.6 договора управления МКД на 2022год  составляет:</t>
    </r>
  </si>
  <si>
    <t>Расчетная плата за содержание помещения</t>
  </si>
  <si>
    <r>
      <t>Дом № 159:</t>
    </r>
    <r>
      <rPr>
        <sz val="12"/>
        <color indexed="8"/>
        <rFont val="Times New Roman"/>
        <family val="1"/>
        <charset val="204"/>
      </rPr>
      <t xml:space="preserve">  Офисы (нежилые помещения) – </t>
    </r>
    <r>
      <rPr>
        <b/>
        <sz val="12"/>
        <color indexed="8"/>
        <rFont val="Times New Roman"/>
        <family val="1"/>
        <charset val="204"/>
      </rPr>
      <t>1028,02</t>
    </r>
    <r>
      <rPr>
        <sz val="12"/>
        <color indexed="8"/>
        <rFont val="Times New Roman"/>
        <family val="1"/>
        <charset val="204"/>
      </rPr>
      <t xml:space="preserve"> кв. м.;   Квартиры - </t>
    </r>
    <r>
      <rPr>
        <b/>
        <sz val="12"/>
        <color indexed="8"/>
        <rFont val="Times New Roman"/>
        <family val="1"/>
        <charset val="204"/>
      </rPr>
      <t>2189,7</t>
    </r>
    <r>
      <rPr>
        <sz val="12"/>
        <color indexed="8"/>
        <rFont val="Times New Roman"/>
        <family val="1"/>
        <charset val="204"/>
      </rPr>
      <t xml:space="preserve"> кв. м.;   Всего: </t>
    </r>
    <r>
      <rPr>
        <b/>
        <sz val="12"/>
        <color indexed="8"/>
        <rFont val="Times New Roman"/>
        <family val="1"/>
        <charset val="204"/>
      </rPr>
      <t xml:space="preserve">3217,72 </t>
    </r>
    <r>
      <rPr>
        <sz val="12"/>
        <color indexed="8"/>
        <rFont val="Times New Roman"/>
        <family val="1"/>
        <charset val="204"/>
      </rPr>
      <t>кв. м.</t>
    </r>
  </si>
  <si>
    <t>ВСЕГО управленческие расходы:</t>
  </si>
  <si>
    <t>Тех. обслуживание вентиляционных каналов.</t>
  </si>
  <si>
    <t>Председатель Правления ТСЖ "Новое"</t>
  </si>
  <si>
    <t>Шаповалов А.В.</t>
  </si>
  <si>
    <t>___________________________________</t>
  </si>
  <si>
    <t>Фонд материального стимулирования  для работников ТСЖ (премии, дежурства в праздничные выходные дни)</t>
  </si>
  <si>
    <t xml:space="preserve">Размещение оборудования (интернет) АО «Информсвязь - Черноземье», ПАО "МТС", Воронежский филиал ПАО "Ростелеком":  проспект Труда д.151, проспект Труда д.159, ул.Загородная д.15.  </t>
  </si>
  <si>
    <t xml:space="preserve">Кабельное телевидение, размещение оборудования (АО «Эр - Телеком Холдинг») dom. Ru: проспект Труда д.151, проспект Труда д.159, ул.Загородная д.15.  </t>
  </si>
  <si>
    <t>Реклама в лифтах ООО "Русмедиа" в д. 151, ООО "Черноземье-Пресс Медиа" по проспекту Труда д. 151 и ул.Загородная д.15</t>
  </si>
  <si>
    <t>Плата за содержание и ремонт помещения</t>
  </si>
  <si>
    <r>
      <t xml:space="preserve">Решением Правления ТСЖ "НОВОЕ" №1 от 15.11.2021г. плата за </t>
    </r>
    <r>
      <rPr>
        <b/>
        <sz val="11"/>
        <color indexed="8"/>
        <rFont val="Times New Roman"/>
        <family val="1"/>
        <charset val="204"/>
      </rPr>
      <t>содержание и ремонт</t>
    </r>
    <r>
      <rPr>
        <sz val="11"/>
        <color indexed="8"/>
        <rFont val="Times New Roman"/>
        <family val="1"/>
        <charset val="204"/>
      </rPr>
      <t xml:space="preserve"> помещения в 2022г. составит 14,61 руб. в соответствии с п.4.1 абз.3 договора управления МКД</t>
    </r>
  </si>
  <si>
    <r>
      <t xml:space="preserve">Фонд заработной платы  </t>
    </r>
    <r>
      <rPr>
        <sz val="10"/>
        <color indexed="8"/>
        <rFont val="Times New Roman"/>
        <family val="1"/>
        <charset val="204"/>
      </rPr>
      <t>Штатная численность установлена в соответствии с Рекомендациями по нормированию труда работников, занятых содержанием и ремонтом жилищного фонда (утвержденные Приказом Госстроя России от 09.12.99 N139. Индексация на 2022г.)</t>
    </r>
  </si>
  <si>
    <t>Капитальный ремонт стояков кв. 06,16,26,36,46,56,66,76,86 09,19,29,39,49,59,69,79,89,99 дома 15 по ул. Загородная  с участием собственников   с условием 50%  оплаты за выполненные работы и материал.</t>
  </si>
  <si>
    <t>Юридическое обслуживание (составление договоров, подготовка исковых заявлений в суды по взысканию задолженности, подготовка общих собраний, оформление протоколов общих собраний и заседаний правления, распечатка Договоров, составление актов ревизии, подписка на программу по ЖКХ)</t>
  </si>
  <si>
    <t xml:space="preserve">Благоустройство территории двора (ремонт асфальтного покрытия по проспекту Труда д.151, проспекту Труда д.159, по ул.Загородная д.15, покос травы, покупка цветов для клумб проспект Труда д.151, ул.Загородная д.15). </t>
  </si>
  <si>
    <r>
      <t>Дом № 151</t>
    </r>
    <r>
      <rPr>
        <b/>
        <sz val="12"/>
        <color indexed="8"/>
        <rFont val="Times New Roman"/>
        <family val="1"/>
        <charset val="204"/>
      </rPr>
      <t xml:space="preserve">:  </t>
    </r>
    <r>
      <rPr>
        <sz val="12"/>
        <color indexed="8"/>
        <rFont val="Times New Roman"/>
        <family val="1"/>
        <charset val="204"/>
      </rPr>
      <t xml:space="preserve">Офисы (нежилые помещения) – </t>
    </r>
    <r>
      <rPr>
        <b/>
        <sz val="12"/>
        <color indexed="8"/>
        <rFont val="Times New Roman"/>
        <family val="1"/>
        <charset val="204"/>
      </rPr>
      <t>1513,5</t>
    </r>
    <r>
      <rPr>
        <sz val="12"/>
        <color indexed="8"/>
        <rFont val="Times New Roman"/>
        <family val="1"/>
        <charset val="204"/>
      </rPr>
      <t xml:space="preserve"> кв. м.;     Квартиры – </t>
    </r>
    <r>
      <rPr>
        <b/>
        <sz val="12"/>
        <color indexed="8"/>
        <rFont val="Times New Roman"/>
        <family val="1"/>
        <charset val="204"/>
      </rPr>
      <t xml:space="preserve">10009,6 </t>
    </r>
    <r>
      <rPr>
        <sz val="12"/>
        <color indexed="8"/>
        <rFont val="Times New Roman"/>
        <family val="1"/>
        <charset val="204"/>
      </rPr>
      <t xml:space="preserve">кв. м.;   Всего: </t>
    </r>
    <r>
      <rPr>
        <b/>
        <sz val="12"/>
        <color indexed="8"/>
        <rFont val="Times New Roman"/>
        <family val="1"/>
        <charset val="204"/>
      </rPr>
      <t>11524</t>
    </r>
    <r>
      <rPr>
        <sz val="12"/>
        <color indexed="8"/>
        <rFont val="Times New Roman"/>
        <family val="1"/>
        <charset val="204"/>
      </rPr>
      <t xml:space="preserve"> кв. м.</t>
    </r>
  </si>
  <si>
    <t>Утверждено Решением Годового Общего Собрания членов ТСЖ "Новое" (протокол № 1 от 26.12.2021г.) "____" _____________________ 2021г. Председатель Правления ТСЖ "Новое" _____________________ Шаповалов А.В.</t>
  </si>
  <si>
    <t>Артезианская вода ИП Бакалейко В.В., 2 авт: по проспекту Труда д.159 и проспекту Труда д.151</t>
  </si>
  <si>
    <t>План (руб.)</t>
  </si>
  <si>
    <t>Факт (руб.)</t>
  </si>
  <si>
    <t>15000,00 договор подряда</t>
  </si>
  <si>
    <t>НДФЛ</t>
  </si>
  <si>
    <t>11 000,00 -  договора подряда</t>
  </si>
  <si>
    <t>23 500,00 - договор подряда</t>
  </si>
  <si>
    <t>23 296,00 - материалы; 84 186,00 - договора подряда</t>
  </si>
  <si>
    <t>23 293,26 - материалы; 32 000,00 - договор подряда</t>
  </si>
  <si>
    <t>11 500,00 - договор подряда</t>
  </si>
  <si>
    <t>20 696,00 - договора подряда</t>
  </si>
  <si>
    <t>11 500,00 - возмещение затрат по акту Загородная 15</t>
  </si>
  <si>
    <t>Договора подряда:</t>
  </si>
  <si>
    <t>Приобретение  для текущей замены  в текущем году задвижки, вентиля, краны, сгоны, манометры и т.п.</t>
  </si>
  <si>
    <t>Профицит на 31.12.2022г.</t>
  </si>
  <si>
    <t>Остаток на счете 01.2022г.</t>
  </si>
  <si>
    <t>План-факт</t>
  </si>
  <si>
    <t>включена в з/п, ИПЦ5%</t>
  </si>
  <si>
    <t>включена в з/п, 23.02,08.03,31.12</t>
  </si>
  <si>
    <t>иные доходы (нормативы СОИ на 1м2)</t>
  </si>
  <si>
    <r>
      <t xml:space="preserve">Резервный фонд: средства на возмещение ущерба собственникам помещений в случае непредвиденных аварий (протечек) в местах общего пользования (крыши, стояки и т.п.) и </t>
    </r>
    <r>
      <rPr>
        <b/>
        <sz val="12"/>
        <color indexed="8"/>
        <rFont val="Times New Roman"/>
        <family val="1"/>
        <charset val="204"/>
      </rPr>
      <t xml:space="preserve">непредвиденные расходы </t>
    </r>
    <r>
      <rPr>
        <sz val="10"/>
        <color indexed="8"/>
        <rFont val="Times New Roman"/>
        <family val="1"/>
        <charset val="204"/>
      </rPr>
      <t>(незапланированный текущий ремонт в МКД ТСЖ «Новое»).</t>
    </r>
  </si>
  <si>
    <t>Всего расходов, обеспечивающие СР ОИ</t>
  </si>
  <si>
    <t xml:space="preserve">Банковские услуги </t>
  </si>
  <si>
    <t>СБИС, антивирус, журнал, проект двора и.т.п.</t>
  </si>
  <si>
    <t>Остаток средств на 2022год  составляет:</t>
  </si>
  <si>
    <t>Бухгалтер ТСЖ "Новое"</t>
  </si>
  <si>
    <t>______________________________ Печенкина Т.В.</t>
  </si>
  <si>
    <t>Отчет об исполнении сметы доходов и расходов ТСЖ "Новое" за 2022г.</t>
  </si>
  <si>
    <t>Справочно:</t>
  </si>
  <si>
    <t>Непредвиденные расходы: Циркул. насос, объявления о приеме на работу,ремонт триммера, ремонт доводчика, датчики движения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</si>
</sst>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\ &quot;₽&quot;"/>
  </numFmts>
  <fonts count="3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4" fontId="16" fillId="0" borderId="0" xfId="0" applyNumberFormat="1" applyFont="1" applyAlignment="1">
      <alignment vertical="center"/>
    </xf>
    <xf numFmtId="0" fontId="21" fillId="0" borderId="1" xfId="0" applyFont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16" fillId="2" borderId="5" xfId="0" applyFont="1" applyFill="1" applyBorder="1"/>
    <xf numFmtId="4" fontId="16" fillId="2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4" fontId="24" fillId="0" borderId="0" xfId="0" applyNumberFormat="1" applyFont="1"/>
    <xf numFmtId="4" fontId="23" fillId="0" borderId="0" xfId="0" applyNumberFormat="1" applyFont="1"/>
    <xf numFmtId="0" fontId="25" fillId="0" borderId="0" xfId="0" applyFont="1"/>
    <xf numFmtId="44" fontId="26" fillId="0" borderId="0" xfId="0" applyNumberFormat="1" applyFont="1"/>
    <xf numFmtId="4" fontId="16" fillId="4" borderId="4" xfId="0" applyNumberFormat="1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0" borderId="0" xfId="0" applyFont="1"/>
    <xf numFmtId="4" fontId="21" fillId="0" borderId="0" xfId="0" applyNumberFormat="1" applyFont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" fontId="16" fillId="4" borderId="6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0" fillId="5" borderId="0" xfId="0" applyFill="1"/>
    <xf numFmtId="4" fontId="0" fillId="5" borderId="0" xfId="0" applyNumberFormat="1" applyFill="1"/>
    <xf numFmtId="4" fontId="21" fillId="5" borderId="0" xfId="0" applyNumberFormat="1" applyFont="1" applyFill="1"/>
    <xf numFmtId="4" fontId="15" fillId="0" borderId="1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/>
    </xf>
    <xf numFmtId="10" fontId="21" fillId="0" borderId="0" xfId="0" applyNumberFormat="1" applyFont="1"/>
    <xf numFmtId="0" fontId="21" fillId="0" borderId="0" xfId="0" applyFont="1" applyAlignment="1"/>
    <xf numFmtId="0" fontId="22" fillId="5" borderId="7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4" borderId="10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wrapText="1"/>
    </xf>
    <xf numFmtId="4" fontId="21" fillId="0" borderId="0" xfId="0" applyNumberFormat="1" applyFont="1" applyAlignment="1">
      <alignment horizontal="center" vertical="center" wrapText="1"/>
    </xf>
    <xf numFmtId="0" fontId="0" fillId="0" borderId="0" xfId="0" applyFont="1"/>
    <xf numFmtId="4" fontId="15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wrapText="1"/>
    </xf>
    <xf numFmtId="0" fontId="21" fillId="5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4" fontId="15" fillId="5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4" fontId="30" fillId="6" borderId="1" xfId="0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2" fillId="6" borderId="1" xfId="0" applyFont="1" applyFill="1" applyBorder="1"/>
    <xf numFmtId="0" fontId="13" fillId="5" borderId="1" xfId="0" applyFont="1" applyFill="1" applyBorder="1" applyAlignment="1">
      <alignment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16" fillId="5" borderId="1" xfId="0" applyFont="1" applyFill="1" applyBorder="1" applyAlignment="1">
      <alignment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4" fontId="34" fillId="7" borderId="1" xfId="0" applyNumberFormat="1" applyFont="1" applyFill="1" applyBorder="1" applyAlignment="1">
      <alignment horizontal="center" vertical="center" wrapText="1"/>
    </xf>
    <xf numFmtId="4" fontId="35" fillId="7" borderId="1" xfId="0" applyNumberFormat="1" applyFont="1" applyFill="1" applyBorder="1" applyAlignment="1">
      <alignment horizontal="center" vertical="center"/>
    </xf>
    <xf numFmtId="8" fontId="16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22" fillId="0" borderId="0" xfId="0" applyFont="1"/>
    <xf numFmtId="8" fontId="14" fillId="5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0" fontId="28" fillId="0" borderId="0" xfId="0" applyFont="1"/>
    <xf numFmtId="0" fontId="21" fillId="0" borderId="1" xfId="0" applyFont="1" applyBorder="1" applyAlignment="1">
      <alignment horizontal="center" wrapText="1"/>
    </xf>
    <xf numFmtId="4" fontId="21" fillId="0" borderId="0" xfId="0" applyNumberFormat="1" applyFont="1" applyAlignment="1">
      <alignment horizontal="center" vertical="center" wrapText="1"/>
    </xf>
    <xf numFmtId="0" fontId="36" fillId="0" borderId="13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center"/>
    </xf>
    <xf numFmtId="0" fontId="16" fillId="4" borderId="14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opLeftCell="A31" zoomScale="75" zoomScaleNormal="75" workbookViewId="0">
      <selection activeCell="D33" sqref="D33"/>
    </sheetView>
  </sheetViews>
  <sheetFormatPr defaultRowHeight="15"/>
  <cols>
    <col min="1" max="1" width="38.85546875" style="43" customWidth="1"/>
    <col min="2" max="2" width="53.140625" style="43" customWidth="1"/>
    <col min="3" max="3" width="19.7109375" style="44" customWidth="1"/>
    <col min="4" max="4" width="19.42578125" style="44" customWidth="1"/>
    <col min="5" max="5" width="14.28515625" customWidth="1"/>
    <col min="6" max="6" width="14.140625" customWidth="1"/>
    <col min="7" max="7" width="12.7109375" customWidth="1"/>
  </cols>
  <sheetData>
    <row r="1" spans="1:9" ht="24" customHeight="1">
      <c r="B1" s="99" t="s">
        <v>94</v>
      </c>
      <c r="C1" s="99"/>
      <c r="D1" s="99"/>
    </row>
    <row r="2" spans="1:9" ht="86.25" customHeight="1">
      <c r="B2" s="99"/>
      <c r="C2" s="99"/>
      <c r="D2" s="99"/>
    </row>
    <row r="3" spans="1:9" ht="24.75" customHeight="1" thickBot="1">
      <c r="A3" s="100" t="s">
        <v>62</v>
      </c>
      <c r="B3" s="100"/>
      <c r="C3" s="100"/>
      <c r="D3" s="100"/>
    </row>
    <row r="4" spans="1:9" ht="41.25" customHeight="1">
      <c r="A4" s="63" t="s">
        <v>38</v>
      </c>
      <c r="B4" s="23"/>
      <c r="C4" s="24" t="s">
        <v>43</v>
      </c>
      <c r="D4" s="25" t="s">
        <v>44</v>
      </c>
      <c r="E4" s="50"/>
      <c r="F4" s="50"/>
      <c r="G4" s="50"/>
      <c r="H4" s="50"/>
      <c r="I4" s="50"/>
    </row>
    <row r="5" spans="1:9" ht="64.5" customHeight="1">
      <c r="A5" s="101" t="s">
        <v>40</v>
      </c>
      <c r="B5" s="18" t="s">
        <v>84</v>
      </c>
      <c r="C5" s="45">
        <f>700+750+500*3</f>
        <v>2950</v>
      </c>
      <c r="D5" s="46">
        <f>C5*12</f>
        <v>35400</v>
      </c>
      <c r="E5" s="50"/>
      <c r="F5" s="50"/>
      <c r="G5" s="50"/>
      <c r="H5" s="50"/>
      <c r="I5" s="50"/>
    </row>
    <row r="6" spans="1:9" ht="49.5" customHeight="1">
      <c r="A6" s="101"/>
      <c r="B6" s="18" t="s">
        <v>85</v>
      </c>
      <c r="C6" s="45">
        <v>520</v>
      </c>
      <c r="D6" s="46">
        <f>C6*12</f>
        <v>6240</v>
      </c>
      <c r="E6" s="50"/>
      <c r="F6" s="50"/>
      <c r="G6" s="50"/>
      <c r="H6" s="50"/>
      <c r="I6" s="50"/>
    </row>
    <row r="7" spans="1:9" ht="34.5" customHeight="1">
      <c r="A7" s="101"/>
      <c r="B7" s="18" t="s">
        <v>95</v>
      </c>
      <c r="C7" s="45">
        <f>1500*2</f>
        <v>3000</v>
      </c>
      <c r="D7" s="46">
        <f>C7*12+5000*4</f>
        <v>56000</v>
      </c>
      <c r="E7" s="50"/>
      <c r="F7" s="51"/>
      <c r="G7" s="50"/>
      <c r="H7" s="50"/>
      <c r="I7" s="50"/>
    </row>
    <row r="8" spans="1:9" ht="42.75" customHeight="1">
      <c r="A8" s="101"/>
      <c r="B8" s="18" t="s">
        <v>86</v>
      </c>
      <c r="C8" s="45">
        <f>200*4+200*5</f>
        <v>1800</v>
      </c>
      <c r="D8" s="46">
        <f>C8*12</f>
        <v>21600</v>
      </c>
      <c r="E8" s="50"/>
      <c r="F8" s="51"/>
      <c r="G8" s="51"/>
      <c r="H8" s="50"/>
      <c r="I8" s="50"/>
    </row>
    <row r="9" spans="1:9" ht="18">
      <c r="A9" s="107" t="s">
        <v>87</v>
      </c>
      <c r="B9" s="18" t="s">
        <v>72</v>
      </c>
      <c r="C9" s="45">
        <f>14.61*3217.72</f>
        <v>47010.889199999998</v>
      </c>
      <c r="D9" s="46">
        <f>C9*12</f>
        <v>564130.67039999994</v>
      </c>
      <c r="E9" s="50"/>
      <c r="F9" s="50"/>
      <c r="G9" s="50"/>
      <c r="H9" s="50"/>
      <c r="I9" s="50"/>
    </row>
    <row r="10" spans="1:9" ht="18">
      <c r="A10" s="107"/>
      <c r="B10" s="18" t="s">
        <v>73</v>
      </c>
      <c r="C10" s="45">
        <f>14.61*11523.1</f>
        <v>168352.49100000001</v>
      </c>
      <c r="D10" s="46">
        <f>C10*12</f>
        <v>2020229.892</v>
      </c>
      <c r="E10" s="50"/>
      <c r="F10" s="50"/>
      <c r="G10" s="50"/>
      <c r="H10" s="50"/>
      <c r="I10" s="50"/>
    </row>
    <row r="11" spans="1:9" ht="18">
      <c r="A11" s="107"/>
      <c r="B11" s="18" t="s">
        <v>74</v>
      </c>
      <c r="C11" s="45">
        <f>14.61*3712.1</f>
        <v>54233.780999999995</v>
      </c>
      <c r="D11" s="46">
        <f>C11*12</f>
        <v>650805.37199999997</v>
      </c>
      <c r="E11" s="50"/>
      <c r="F11" s="51"/>
      <c r="G11" s="51"/>
      <c r="H11" s="50"/>
      <c r="I11" s="50"/>
    </row>
    <row r="12" spans="1:9" ht="15.75" customHeight="1">
      <c r="A12" s="27" t="s">
        <v>39</v>
      </c>
      <c r="B12" s="42"/>
      <c r="C12" s="14">
        <f>SUM(C5:C11)</f>
        <v>277867.16120000003</v>
      </c>
      <c r="D12" s="28">
        <f>SUM(D5:D11)</f>
        <v>3354405.9344000001</v>
      </c>
      <c r="E12" s="50"/>
      <c r="F12" s="51"/>
      <c r="G12" s="51"/>
      <c r="H12" s="50"/>
      <c r="I12" s="50"/>
    </row>
    <row r="13" spans="1:9" ht="37.5" customHeight="1">
      <c r="A13" s="64" t="s">
        <v>0</v>
      </c>
      <c r="B13" s="7"/>
      <c r="C13" s="8" t="s">
        <v>43</v>
      </c>
      <c r="D13" s="26" t="s">
        <v>44</v>
      </c>
      <c r="E13" s="50"/>
      <c r="F13" s="50"/>
      <c r="G13" s="50"/>
      <c r="H13" s="50"/>
      <c r="I13" s="50"/>
    </row>
    <row r="14" spans="1:9" ht="21" customHeight="1">
      <c r="A14" s="108" t="s">
        <v>37</v>
      </c>
      <c r="B14" s="1" t="s">
        <v>1</v>
      </c>
      <c r="C14" s="53">
        <v>1000</v>
      </c>
      <c r="D14" s="29">
        <f>C14*12</f>
        <v>12000</v>
      </c>
      <c r="E14" s="50"/>
      <c r="F14" s="50"/>
      <c r="G14" s="50"/>
      <c r="H14" s="50"/>
      <c r="I14" s="50"/>
    </row>
    <row r="15" spans="1:9" ht="25.5" customHeight="1">
      <c r="A15" s="109"/>
      <c r="B15" s="1" t="s">
        <v>2</v>
      </c>
      <c r="C15" s="53">
        <f t="shared" ref="C15:C26" si="0">D15/12</f>
        <v>4750</v>
      </c>
      <c r="D15" s="41">
        <f>18*3000+500*6</f>
        <v>57000</v>
      </c>
      <c r="E15" s="50"/>
      <c r="F15" s="50"/>
      <c r="G15" s="50"/>
      <c r="H15" s="50"/>
      <c r="I15" s="50"/>
    </row>
    <row r="16" spans="1:9" ht="52.5" customHeight="1">
      <c r="A16" s="109"/>
      <c r="B16" s="1" t="s">
        <v>92</v>
      </c>
      <c r="C16" s="53">
        <f t="shared" si="0"/>
        <v>2500</v>
      </c>
      <c r="D16" s="41">
        <v>30000</v>
      </c>
      <c r="E16" s="50"/>
      <c r="F16" s="50"/>
      <c r="G16" s="50"/>
      <c r="H16" s="50"/>
      <c r="I16" s="50"/>
    </row>
    <row r="17" spans="1:9" ht="28.5" customHeight="1">
      <c r="A17" s="109"/>
      <c r="B17" s="1" t="s">
        <v>57</v>
      </c>
      <c r="C17" s="53">
        <f t="shared" si="0"/>
        <v>1666.6666666666667</v>
      </c>
      <c r="D17" s="41">
        <v>20000</v>
      </c>
      <c r="E17" s="50"/>
      <c r="F17" s="50"/>
      <c r="G17" s="50"/>
      <c r="H17" s="50"/>
      <c r="I17" s="50"/>
    </row>
    <row r="18" spans="1:9" ht="25.5">
      <c r="A18" s="109"/>
      <c r="B18" s="1" t="s">
        <v>3</v>
      </c>
      <c r="C18" s="53">
        <f t="shared" si="0"/>
        <v>3750</v>
      </c>
      <c r="D18" s="41">
        <v>45000</v>
      </c>
      <c r="E18" s="50"/>
      <c r="F18" s="50"/>
      <c r="G18" s="50"/>
      <c r="H18" s="50"/>
      <c r="I18" s="50"/>
    </row>
    <row r="19" spans="1:9" ht="18" customHeight="1">
      <c r="A19" s="109"/>
      <c r="B19" s="1" t="s">
        <v>4</v>
      </c>
      <c r="C19" s="53">
        <f t="shared" si="0"/>
        <v>1333.3333333333333</v>
      </c>
      <c r="D19" s="41">
        <v>16000</v>
      </c>
      <c r="E19" s="50"/>
      <c r="F19" s="50"/>
      <c r="G19" s="50"/>
      <c r="H19" s="50"/>
      <c r="I19" s="50"/>
    </row>
    <row r="20" spans="1:9" ht="38.25">
      <c r="A20" s="109"/>
      <c r="B20" s="1" t="s">
        <v>59</v>
      </c>
      <c r="C20" s="53">
        <f t="shared" si="0"/>
        <v>416.66666666666669</v>
      </c>
      <c r="D20" s="41">
        <v>5000</v>
      </c>
      <c r="E20" s="50"/>
      <c r="F20" s="50"/>
      <c r="G20" s="50"/>
      <c r="H20" s="50"/>
      <c r="I20" s="50"/>
    </row>
    <row r="21" spans="1:9" ht="22.5" customHeight="1">
      <c r="A21" s="109"/>
      <c r="B21" s="1" t="s">
        <v>5</v>
      </c>
      <c r="C21" s="53">
        <f t="shared" si="0"/>
        <v>1250</v>
      </c>
      <c r="D21" s="41">
        <v>15000</v>
      </c>
      <c r="E21" s="50"/>
      <c r="F21" s="50"/>
      <c r="G21" s="50"/>
      <c r="H21" s="50"/>
      <c r="I21" s="50"/>
    </row>
    <row r="22" spans="1:9">
      <c r="A22" s="109"/>
      <c r="B22" s="1" t="s">
        <v>79</v>
      </c>
      <c r="C22" s="53">
        <f t="shared" si="0"/>
        <v>4950</v>
      </c>
      <c r="D22" s="41">
        <f>19800*3</f>
        <v>59400</v>
      </c>
      <c r="E22" s="50"/>
      <c r="F22" s="50"/>
      <c r="G22" s="50"/>
      <c r="H22" s="50"/>
      <c r="I22" s="50"/>
    </row>
    <row r="23" spans="1:9" ht="25.5" customHeight="1">
      <c r="A23" s="109"/>
      <c r="B23" s="1" t="s">
        <v>7</v>
      </c>
      <c r="C23" s="53">
        <f t="shared" si="0"/>
        <v>2500</v>
      </c>
      <c r="D23" s="41">
        <v>30000</v>
      </c>
      <c r="E23" s="50"/>
      <c r="F23" s="50"/>
      <c r="G23" s="50"/>
      <c r="H23" s="50"/>
      <c r="I23" s="50"/>
    </row>
    <row r="24" spans="1:9" ht="54" customHeight="1">
      <c r="A24" s="109"/>
      <c r="B24" s="1" t="s">
        <v>90</v>
      </c>
      <c r="C24" s="53">
        <f t="shared" si="0"/>
        <v>8333.3333333333339</v>
      </c>
      <c r="D24" s="41">
        <v>100000</v>
      </c>
      <c r="E24" s="50"/>
      <c r="F24" s="50"/>
      <c r="G24" s="50"/>
      <c r="H24" s="50"/>
      <c r="I24" s="50"/>
    </row>
    <row r="25" spans="1:9" ht="17.25" customHeight="1">
      <c r="A25" s="109"/>
      <c r="B25" s="1" t="s">
        <v>8</v>
      </c>
      <c r="C25" s="53">
        <f t="shared" si="0"/>
        <v>4166.666666666667</v>
      </c>
      <c r="D25" s="41">
        <v>50000</v>
      </c>
      <c r="E25" s="50"/>
      <c r="F25" s="50"/>
      <c r="G25" s="50"/>
      <c r="H25" s="50"/>
      <c r="I25" s="50"/>
    </row>
    <row r="26" spans="1:9" ht="114.75">
      <c r="A26" s="109"/>
      <c r="B26" s="1" t="s">
        <v>9</v>
      </c>
      <c r="C26" s="53">
        <f t="shared" si="0"/>
        <v>208.33333333333334</v>
      </c>
      <c r="D26" s="41">
        <v>2500</v>
      </c>
      <c r="E26" s="50"/>
      <c r="F26" s="50"/>
      <c r="G26" s="50"/>
      <c r="H26" s="50"/>
      <c r="I26" s="50"/>
    </row>
    <row r="27" spans="1:9" ht="51">
      <c r="A27" s="109"/>
      <c r="B27" s="1" t="s">
        <v>10</v>
      </c>
      <c r="C27" s="53">
        <f>D27/12</f>
        <v>1250</v>
      </c>
      <c r="D27" s="41">
        <v>15000</v>
      </c>
      <c r="E27" s="50"/>
      <c r="F27" s="50"/>
      <c r="G27" s="50"/>
      <c r="H27" s="50"/>
      <c r="I27" s="50"/>
    </row>
    <row r="28" spans="1:9" ht="58.5" customHeight="1">
      <c r="A28" s="109"/>
      <c r="B28" s="1" t="s">
        <v>11</v>
      </c>
      <c r="C28" s="53">
        <v>2000</v>
      </c>
      <c r="D28" s="41">
        <f>C28*12</f>
        <v>24000</v>
      </c>
      <c r="E28" s="50"/>
      <c r="F28" s="50"/>
      <c r="G28" s="50"/>
      <c r="H28" s="50"/>
      <c r="I28" s="50"/>
    </row>
    <row r="29" spans="1:9" ht="25.5" customHeight="1">
      <c r="A29" s="109"/>
      <c r="B29" s="1" t="s">
        <v>65</v>
      </c>
      <c r="C29" s="53">
        <f>D29/12</f>
        <v>833.33333333333337</v>
      </c>
      <c r="D29" s="41">
        <v>10000</v>
      </c>
      <c r="E29" s="50"/>
      <c r="F29" s="50"/>
      <c r="G29" s="50"/>
      <c r="H29" s="50"/>
      <c r="I29" s="50"/>
    </row>
    <row r="30" spans="1:9" ht="51">
      <c r="A30" s="109"/>
      <c r="B30" s="1" t="s">
        <v>12</v>
      </c>
      <c r="C30" s="53">
        <f>D30/12</f>
        <v>2500</v>
      </c>
      <c r="D30" s="41">
        <v>30000</v>
      </c>
      <c r="E30" s="50"/>
      <c r="F30" s="50"/>
      <c r="G30" s="50"/>
      <c r="H30" s="50"/>
      <c r="I30" s="50"/>
    </row>
    <row r="31" spans="1:9" ht="69.75" customHeight="1">
      <c r="A31" s="109"/>
      <c r="B31" s="1" t="s">
        <v>69</v>
      </c>
      <c r="C31" s="53">
        <f>D31/12</f>
        <v>8333.3333333333339</v>
      </c>
      <c r="D31" s="29">
        <v>100000</v>
      </c>
      <c r="E31" s="50"/>
      <c r="F31" s="50"/>
      <c r="G31" s="50"/>
      <c r="H31" s="50"/>
      <c r="I31" s="50"/>
    </row>
    <row r="32" spans="1:9" ht="26.25" customHeight="1">
      <c r="A32" s="15" t="s">
        <v>54</v>
      </c>
      <c r="B32" s="15"/>
      <c r="C32" s="16">
        <f>SUM(C14:C31)</f>
        <v>51741.666666666672</v>
      </c>
      <c r="D32" s="30">
        <f>SUM(D14:D31)</f>
        <v>620900</v>
      </c>
      <c r="E32" s="50"/>
      <c r="F32" s="50"/>
      <c r="G32" s="50"/>
      <c r="H32" s="50"/>
      <c r="I32" s="50"/>
    </row>
    <row r="33" spans="1:9" ht="18.75" customHeight="1">
      <c r="A33" s="104" t="s">
        <v>89</v>
      </c>
      <c r="B33" s="17" t="s">
        <v>61</v>
      </c>
      <c r="C33" s="53">
        <v>28300</v>
      </c>
      <c r="D33" s="29">
        <f>C33*12</f>
        <v>339600</v>
      </c>
      <c r="E33" s="50"/>
      <c r="F33" s="50"/>
      <c r="G33" s="50"/>
      <c r="H33" s="50"/>
      <c r="I33" s="50"/>
    </row>
    <row r="34" spans="1:9" ht="15" customHeight="1">
      <c r="A34" s="105"/>
      <c r="B34" s="17" t="s">
        <v>29</v>
      </c>
      <c r="C34" s="53">
        <v>19230</v>
      </c>
      <c r="D34" s="29">
        <f t="shared" ref="D34:D42" si="1">C34*12</f>
        <v>230760</v>
      </c>
      <c r="E34" s="50"/>
      <c r="F34" s="50"/>
      <c r="G34" s="50"/>
      <c r="H34" s="50"/>
      <c r="I34" s="50"/>
    </row>
    <row r="35" spans="1:9" ht="15" customHeight="1">
      <c r="A35" s="105"/>
      <c r="B35" s="17" t="s">
        <v>70</v>
      </c>
      <c r="C35" s="53">
        <v>25350</v>
      </c>
      <c r="D35" s="29">
        <f t="shared" si="1"/>
        <v>304200</v>
      </c>
      <c r="E35" s="50"/>
      <c r="F35" s="50"/>
      <c r="G35" s="50"/>
      <c r="H35" s="50"/>
      <c r="I35" s="50"/>
    </row>
    <row r="36" spans="1:9" ht="15" customHeight="1">
      <c r="A36" s="105"/>
      <c r="B36" s="17" t="s">
        <v>31</v>
      </c>
      <c r="C36" s="2">
        <v>8560</v>
      </c>
      <c r="D36" s="29">
        <f t="shared" si="1"/>
        <v>102720</v>
      </c>
      <c r="E36" s="50"/>
      <c r="F36" s="50"/>
      <c r="G36" s="50"/>
      <c r="H36" s="50"/>
      <c r="I36" s="50"/>
    </row>
    <row r="37" spans="1:9" ht="15" customHeight="1">
      <c r="A37" s="105"/>
      <c r="B37" s="17" t="s">
        <v>32</v>
      </c>
      <c r="C37" s="2">
        <v>15730</v>
      </c>
      <c r="D37" s="29">
        <f t="shared" si="1"/>
        <v>188760</v>
      </c>
      <c r="E37" s="50"/>
      <c r="F37" s="50"/>
      <c r="G37" s="50"/>
      <c r="H37" s="50"/>
      <c r="I37" s="50"/>
    </row>
    <row r="38" spans="1:9" ht="15" customHeight="1">
      <c r="A38" s="105"/>
      <c r="B38" s="17" t="s">
        <v>33</v>
      </c>
      <c r="C38" s="53">
        <v>9050</v>
      </c>
      <c r="D38" s="29">
        <f t="shared" si="1"/>
        <v>108600</v>
      </c>
      <c r="E38" s="50"/>
      <c r="F38" s="50"/>
      <c r="G38" s="50"/>
      <c r="H38" s="50"/>
      <c r="I38" s="50"/>
    </row>
    <row r="39" spans="1:9" ht="15" customHeight="1">
      <c r="A39" s="105"/>
      <c r="B39" s="17" t="s">
        <v>34</v>
      </c>
      <c r="C39" s="53">
        <v>9050</v>
      </c>
      <c r="D39" s="29">
        <f t="shared" si="1"/>
        <v>108600</v>
      </c>
      <c r="E39" s="50"/>
      <c r="F39" s="50"/>
      <c r="G39" s="50"/>
      <c r="H39" s="50"/>
      <c r="I39" s="50"/>
    </row>
    <row r="40" spans="1:9" ht="15" customHeight="1">
      <c r="A40" s="105"/>
      <c r="B40" s="17" t="s">
        <v>71</v>
      </c>
      <c r="C40" s="53">
        <v>18670</v>
      </c>
      <c r="D40" s="29">
        <f t="shared" si="1"/>
        <v>224040</v>
      </c>
      <c r="E40" s="50"/>
      <c r="F40" s="50"/>
      <c r="G40" s="50"/>
      <c r="H40" s="50"/>
      <c r="I40" s="50"/>
    </row>
    <row r="41" spans="1:9" ht="15" customHeight="1">
      <c r="A41" s="105"/>
      <c r="B41" s="17" t="s">
        <v>13</v>
      </c>
      <c r="C41" s="53">
        <v>6230</v>
      </c>
      <c r="D41" s="29">
        <f t="shared" si="1"/>
        <v>74760</v>
      </c>
      <c r="E41" s="50"/>
      <c r="F41" s="50"/>
      <c r="G41" s="50"/>
      <c r="H41" s="50"/>
      <c r="I41" s="50"/>
    </row>
    <row r="42" spans="1:9" ht="15" customHeight="1">
      <c r="A42" s="105"/>
      <c r="B42" s="17" t="s">
        <v>14</v>
      </c>
      <c r="C42" s="53">
        <v>5250</v>
      </c>
      <c r="D42" s="29">
        <f t="shared" si="1"/>
        <v>63000</v>
      </c>
      <c r="E42" s="50"/>
      <c r="F42" s="50"/>
      <c r="G42" s="50"/>
      <c r="H42" s="50"/>
      <c r="I42" s="50"/>
    </row>
    <row r="43" spans="1:9" ht="63" customHeight="1">
      <c r="A43" s="105"/>
      <c r="B43" s="17" t="s">
        <v>30</v>
      </c>
      <c r="C43" s="53">
        <f>D43/12</f>
        <v>7251</v>
      </c>
      <c r="D43" s="29">
        <v>87012</v>
      </c>
      <c r="E43" s="50"/>
      <c r="F43" s="50"/>
      <c r="G43" s="50"/>
      <c r="H43" s="50"/>
      <c r="I43" s="50"/>
    </row>
    <row r="44" spans="1:9" ht="25.5" customHeight="1">
      <c r="A44" s="105"/>
      <c r="B44" s="17" t="s">
        <v>83</v>
      </c>
      <c r="C44" s="53">
        <f>D44/12</f>
        <v>2500</v>
      </c>
      <c r="D44" s="29">
        <f>25000+5000</f>
        <v>30000</v>
      </c>
      <c r="E44" s="50"/>
      <c r="F44" s="50"/>
      <c r="G44" s="50"/>
      <c r="H44" s="50"/>
      <c r="I44" s="50"/>
    </row>
    <row r="45" spans="1:9" ht="13.5" customHeight="1">
      <c r="A45" s="15" t="s">
        <v>15</v>
      </c>
      <c r="B45" s="15"/>
      <c r="C45" s="16">
        <f>SUM(C33:C44)</f>
        <v>155171</v>
      </c>
      <c r="D45" s="16">
        <f>SUM(D33:D44)</f>
        <v>1862052</v>
      </c>
      <c r="E45" s="50"/>
      <c r="F45" s="50"/>
      <c r="G45" s="50"/>
      <c r="H45" s="50"/>
      <c r="I45" s="50"/>
    </row>
    <row r="46" spans="1:9" ht="15" customHeight="1">
      <c r="A46" s="104" t="s">
        <v>52</v>
      </c>
      <c r="B46" s="10" t="s">
        <v>47</v>
      </c>
      <c r="C46" s="11">
        <v>2500</v>
      </c>
      <c r="D46" s="31">
        <f t="shared" ref="D46:D53" si="2">C46*12</f>
        <v>30000</v>
      </c>
      <c r="E46" s="50"/>
      <c r="F46" s="50"/>
      <c r="G46" s="50"/>
      <c r="H46" s="50"/>
      <c r="I46" s="50"/>
    </row>
    <row r="47" spans="1:9" ht="25.5">
      <c r="A47" s="105"/>
      <c r="B47" s="3" t="s">
        <v>50</v>
      </c>
      <c r="C47" s="53">
        <v>1000</v>
      </c>
      <c r="D47" s="41">
        <f t="shared" si="2"/>
        <v>12000</v>
      </c>
      <c r="E47" s="50"/>
      <c r="F47" s="50"/>
      <c r="G47" s="50"/>
      <c r="H47" s="50"/>
      <c r="I47" s="50"/>
    </row>
    <row r="48" spans="1:9" ht="15" customHeight="1">
      <c r="A48" s="105"/>
      <c r="B48" s="3" t="s">
        <v>48</v>
      </c>
      <c r="C48" s="53">
        <v>1500</v>
      </c>
      <c r="D48" s="41">
        <f t="shared" si="2"/>
        <v>18000</v>
      </c>
      <c r="E48" s="50"/>
      <c r="F48" s="50"/>
      <c r="G48" s="50"/>
      <c r="H48" s="50"/>
      <c r="I48" s="50"/>
    </row>
    <row r="49" spans="1:9" ht="15" customHeight="1">
      <c r="A49" s="105"/>
      <c r="B49" s="3" t="s">
        <v>16</v>
      </c>
      <c r="C49" s="53">
        <v>1000</v>
      </c>
      <c r="D49" s="29">
        <f t="shared" si="2"/>
        <v>12000</v>
      </c>
      <c r="E49" s="50"/>
      <c r="F49" s="50"/>
      <c r="G49" s="50"/>
      <c r="H49" s="50"/>
      <c r="I49" s="50"/>
    </row>
    <row r="50" spans="1:9" ht="15" customHeight="1">
      <c r="A50" s="105"/>
      <c r="B50" s="10" t="s">
        <v>17</v>
      </c>
      <c r="C50" s="11">
        <f>SUM(C51:C53)</f>
        <v>1229</v>
      </c>
      <c r="D50" s="31">
        <f t="shared" si="2"/>
        <v>14748</v>
      </c>
      <c r="E50" s="50"/>
      <c r="F50" s="50"/>
      <c r="G50" s="50"/>
      <c r="H50" s="50"/>
      <c r="I50" s="50"/>
    </row>
    <row r="51" spans="1:9" ht="25.5">
      <c r="A51" s="105"/>
      <c r="B51" s="9" t="s">
        <v>49</v>
      </c>
      <c r="C51" s="53">
        <f>16*24</f>
        <v>384</v>
      </c>
      <c r="D51" s="29">
        <f t="shared" si="2"/>
        <v>4608</v>
      </c>
      <c r="E51" s="50"/>
      <c r="F51" s="50"/>
      <c r="G51" s="50"/>
      <c r="H51" s="50"/>
      <c r="I51" s="50"/>
    </row>
    <row r="52" spans="1:9" ht="25.5">
      <c r="A52" s="105"/>
      <c r="B52" s="9" t="s">
        <v>45</v>
      </c>
      <c r="C52" s="53">
        <f>10*70</f>
        <v>700</v>
      </c>
      <c r="D52" s="29">
        <f t="shared" si="2"/>
        <v>8400</v>
      </c>
      <c r="E52" s="51"/>
      <c r="F52" s="50"/>
      <c r="G52" s="50"/>
      <c r="H52" s="50"/>
      <c r="I52" s="50"/>
    </row>
    <row r="53" spans="1:9" ht="24" customHeight="1">
      <c r="A53" s="105"/>
      <c r="B53" s="9" t="s">
        <v>46</v>
      </c>
      <c r="C53" s="53">
        <v>145</v>
      </c>
      <c r="D53" s="29">
        <f t="shared" si="2"/>
        <v>1740</v>
      </c>
      <c r="E53" s="50"/>
      <c r="F53" s="50"/>
      <c r="G53" s="50"/>
      <c r="H53" s="50"/>
      <c r="I53" s="50"/>
    </row>
    <row r="54" spans="1:9" ht="17.25" customHeight="1">
      <c r="A54" s="105"/>
      <c r="B54" s="18" t="s">
        <v>6</v>
      </c>
      <c r="C54" s="53">
        <f>D54/12</f>
        <v>1250</v>
      </c>
      <c r="D54" s="29">
        <v>15000</v>
      </c>
      <c r="E54" s="50"/>
      <c r="F54" s="50"/>
      <c r="G54" s="50"/>
      <c r="H54" s="50"/>
      <c r="I54" s="50"/>
    </row>
    <row r="55" spans="1:9" ht="15" customHeight="1">
      <c r="A55" s="105"/>
      <c r="B55" s="3" t="s">
        <v>18</v>
      </c>
      <c r="C55" s="53">
        <v>600</v>
      </c>
      <c r="D55" s="29">
        <f>C55*12</f>
        <v>7200</v>
      </c>
      <c r="E55" s="50"/>
      <c r="F55" s="50"/>
      <c r="G55" s="50"/>
      <c r="H55" s="50"/>
      <c r="I55" s="50"/>
    </row>
    <row r="56" spans="1:9" ht="26.25" customHeight="1">
      <c r="A56" s="105"/>
      <c r="B56" s="3" t="s">
        <v>68</v>
      </c>
      <c r="C56" s="53">
        <f>D56/12</f>
        <v>1250</v>
      </c>
      <c r="D56" s="29">
        <f>300*6+13200</f>
        <v>15000</v>
      </c>
      <c r="E56" s="50"/>
      <c r="F56" s="50"/>
      <c r="G56" s="50"/>
      <c r="H56" s="50"/>
      <c r="I56" s="50"/>
    </row>
    <row r="57" spans="1:9" ht="15" customHeight="1">
      <c r="A57" s="105"/>
      <c r="B57" s="4" t="s">
        <v>36</v>
      </c>
      <c r="C57" s="53"/>
      <c r="D57" s="29" t="s">
        <v>20</v>
      </c>
      <c r="E57" s="50"/>
      <c r="F57" s="50"/>
      <c r="G57" s="50"/>
      <c r="H57" s="50"/>
      <c r="I57" s="50"/>
    </row>
    <row r="58" spans="1:9" ht="25.5">
      <c r="A58" s="105"/>
      <c r="B58" s="3" t="s">
        <v>19</v>
      </c>
      <c r="C58" s="53">
        <f>D58/12</f>
        <v>208.33333333333334</v>
      </c>
      <c r="D58" s="29">
        <v>2500</v>
      </c>
      <c r="E58" s="50"/>
      <c r="F58" s="50"/>
      <c r="G58" s="50"/>
      <c r="H58" s="50"/>
      <c r="I58" s="50"/>
    </row>
    <row r="59" spans="1:9" ht="78.75" customHeight="1">
      <c r="A59" s="105"/>
      <c r="B59" s="3" t="s">
        <v>91</v>
      </c>
      <c r="C59" s="53">
        <f>D59/12</f>
        <v>5833.333333333333</v>
      </c>
      <c r="D59" s="29">
        <f>12000+26400+10000+21600</f>
        <v>70000</v>
      </c>
      <c r="E59" s="50"/>
      <c r="F59" s="50"/>
      <c r="G59" s="50"/>
      <c r="H59" s="50"/>
      <c r="I59" s="50"/>
    </row>
    <row r="60" spans="1:9" ht="12" customHeight="1">
      <c r="A60" s="19" t="s">
        <v>78</v>
      </c>
      <c r="B60" s="19"/>
      <c r="C60" s="16">
        <f>SUM(C47:C49,C51:C59)</f>
        <v>13870.666666666666</v>
      </c>
      <c r="D60" s="30">
        <f>SUM(D47:D49,D51:D59)</f>
        <v>166448</v>
      </c>
      <c r="E60" s="50"/>
      <c r="F60" s="50"/>
      <c r="G60" s="50"/>
      <c r="H60" s="50"/>
      <c r="I60" s="50"/>
    </row>
    <row r="61" spans="1:9" ht="15.75" customHeight="1">
      <c r="A61" s="104" t="s">
        <v>53</v>
      </c>
      <c r="B61" s="13" t="s">
        <v>21</v>
      </c>
      <c r="C61" s="53">
        <v>9100</v>
      </c>
      <c r="D61" s="29">
        <f>C61*12</f>
        <v>109200</v>
      </c>
      <c r="E61" s="50"/>
      <c r="F61" s="50"/>
      <c r="G61" s="50"/>
      <c r="H61" s="50"/>
      <c r="I61" s="50"/>
    </row>
    <row r="62" spans="1:9" ht="27.75" customHeight="1">
      <c r="A62" s="105"/>
      <c r="B62" s="13" t="s">
        <v>51</v>
      </c>
      <c r="C62" s="53">
        <v>10010.41</v>
      </c>
      <c r="D62" s="29">
        <f>C62*12</f>
        <v>120124.92</v>
      </c>
      <c r="E62" s="50"/>
      <c r="F62" s="50"/>
      <c r="G62" s="50"/>
      <c r="H62" s="50"/>
      <c r="I62" s="50"/>
    </row>
    <row r="63" spans="1:9" ht="13.5" customHeight="1">
      <c r="A63" s="105"/>
      <c r="B63" s="13" t="s">
        <v>66</v>
      </c>
      <c r="C63" s="53" t="s">
        <v>35</v>
      </c>
      <c r="D63" s="29">
        <v>1500</v>
      </c>
      <c r="E63" s="50"/>
      <c r="F63" s="50"/>
      <c r="G63" s="50"/>
      <c r="H63" s="50"/>
      <c r="I63" s="50"/>
    </row>
    <row r="64" spans="1:9" ht="25.5" customHeight="1">
      <c r="A64" s="105"/>
      <c r="B64" s="13" t="s">
        <v>67</v>
      </c>
      <c r="C64" s="53" t="s">
        <v>35</v>
      </c>
      <c r="D64" s="29">
        <v>4995</v>
      </c>
      <c r="E64" s="50"/>
      <c r="F64" s="50"/>
      <c r="G64" s="50"/>
      <c r="H64" s="50"/>
      <c r="I64" s="50"/>
    </row>
    <row r="65" spans="1:9" ht="19.5" customHeight="1">
      <c r="A65" s="106"/>
      <c r="B65" s="13" t="s">
        <v>22</v>
      </c>
      <c r="C65" s="53">
        <v>2700</v>
      </c>
      <c r="D65" s="29">
        <f>C65*12</f>
        <v>32400</v>
      </c>
      <c r="E65" s="50"/>
      <c r="F65" s="50"/>
      <c r="G65" s="51"/>
      <c r="H65" s="50"/>
      <c r="I65" s="50"/>
    </row>
    <row r="66" spans="1:9" ht="15.75">
      <c r="A66" s="32" t="s">
        <v>56</v>
      </c>
      <c r="B66" s="32"/>
      <c r="C66" s="20">
        <f>SUM(C61:C65)</f>
        <v>21810.41</v>
      </c>
      <c r="D66" s="48">
        <f>SUM(D61:D65)</f>
        <v>268219.92</v>
      </c>
      <c r="E66" s="50"/>
      <c r="F66" s="52"/>
      <c r="G66" s="52"/>
      <c r="H66" s="50"/>
      <c r="I66" s="50"/>
    </row>
    <row r="67" spans="1:9" ht="15.75" customHeight="1">
      <c r="A67" s="104" t="s">
        <v>64</v>
      </c>
      <c r="B67" s="21" t="s">
        <v>23</v>
      </c>
      <c r="C67" s="8">
        <f>D67/12</f>
        <v>8386.0148360000003</v>
      </c>
      <c r="D67" s="26">
        <f>(D12*6/100)/2</f>
        <v>100632.17803200001</v>
      </c>
      <c r="E67" s="50"/>
      <c r="F67" s="52"/>
      <c r="G67" s="52"/>
      <c r="H67" s="50"/>
      <c r="I67" s="50"/>
    </row>
    <row r="68" spans="1:9" ht="15.75" customHeight="1">
      <c r="A68" s="105"/>
      <c r="B68" s="21" t="s">
        <v>24</v>
      </c>
      <c r="C68" s="8">
        <f>C45*22%</f>
        <v>34137.620000000003</v>
      </c>
      <c r="D68" s="26">
        <f>C68*12</f>
        <v>409651.44000000006</v>
      </c>
      <c r="E68" s="50"/>
      <c r="F68" s="50"/>
      <c r="G68" s="50"/>
      <c r="H68" s="50"/>
      <c r="I68" s="50"/>
    </row>
    <row r="69" spans="1:9" ht="15.75" customHeight="1">
      <c r="A69" s="105"/>
      <c r="B69" s="21" t="s">
        <v>25</v>
      </c>
      <c r="C69" s="8">
        <f>C45*0.2/100</f>
        <v>310.34199999999998</v>
      </c>
      <c r="D69" s="26">
        <f>C69*12</f>
        <v>3724.1039999999998</v>
      </c>
      <c r="E69" s="50"/>
      <c r="F69" s="50"/>
      <c r="G69" s="50"/>
      <c r="H69" s="50"/>
      <c r="I69" s="50"/>
    </row>
    <row r="70" spans="1:9" ht="15.75" customHeight="1">
      <c r="A70" s="105"/>
      <c r="B70" s="21" t="s">
        <v>26</v>
      </c>
      <c r="C70" s="8">
        <f>C45*2.9/100</f>
        <v>4499.9589999999998</v>
      </c>
      <c r="D70" s="26">
        <f>C70*12</f>
        <v>53999.508000000002</v>
      </c>
      <c r="E70" s="50"/>
      <c r="F70" s="50"/>
      <c r="G70" s="50"/>
      <c r="H70" s="50"/>
      <c r="I70" s="50"/>
    </row>
    <row r="71" spans="1:9" ht="12" customHeight="1">
      <c r="A71" s="106"/>
      <c r="B71" s="21" t="s">
        <v>27</v>
      </c>
      <c r="C71" s="8">
        <f>C45*5.1/100</f>
        <v>7913.7209999999995</v>
      </c>
      <c r="D71" s="26">
        <f>C71*12</f>
        <v>94964.652000000002</v>
      </c>
      <c r="E71" s="50"/>
      <c r="F71" s="50"/>
      <c r="G71" s="50"/>
      <c r="H71" s="50"/>
      <c r="I71" s="50"/>
    </row>
    <row r="72" spans="1:9" ht="13.5" customHeight="1">
      <c r="A72" s="22" t="s">
        <v>55</v>
      </c>
      <c r="B72" s="22"/>
      <c r="C72" s="20">
        <f>SUM(C67:C71)</f>
        <v>55247.656836000002</v>
      </c>
      <c r="D72" s="40">
        <f>SUM(D67:D71)</f>
        <v>662971.88203200011</v>
      </c>
      <c r="E72" s="50"/>
      <c r="F72" s="50"/>
      <c r="G72" s="50"/>
      <c r="H72" s="50"/>
      <c r="I72" s="50"/>
    </row>
    <row r="73" spans="1:9" ht="16.5" customHeight="1">
      <c r="A73" s="57" t="s">
        <v>63</v>
      </c>
      <c r="B73" s="58"/>
      <c r="C73" s="59">
        <f>D73/12</f>
        <v>246640.98350266667</v>
      </c>
      <c r="D73" s="60">
        <f>D74-D32</f>
        <v>2959691.8020319999</v>
      </c>
      <c r="E73" s="50"/>
      <c r="F73" s="50"/>
      <c r="G73" s="50"/>
      <c r="H73" s="50"/>
      <c r="I73" s="50"/>
    </row>
    <row r="74" spans="1:9" ht="13.5" customHeight="1" thickBot="1">
      <c r="A74" s="102" t="s">
        <v>28</v>
      </c>
      <c r="B74" s="103"/>
      <c r="C74" s="61">
        <f>D74/12</f>
        <v>298382.65016933333</v>
      </c>
      <c r="D74" s="62">
        <f>D32+D45+D60+D66+D72</f>
        <v>3580591.8020319999</v>
      </c>
      <c r="E74" s="50"/>
      <c r="F74" s="50"/>
      <c r="G74" s="50"/>
      <c r="H74" s="50"/>
      <c r="I74" s="50"/>
    </row>
    <row r="76" spans="1:9" ht="15.75">
      <c r="A76" s="5" t="s">
        <v>41</v>
      </c>
    </row>
    <row r="77" spans="1:9" ht="15.75">
      <c r="A77" s="6" t="s">
        <v>77</v>
      </c>
    </row>
    <row r="78" spans="1:9" ht="15.75">
      <c r="A78" s="6" t="s">
        <v>93</v>
      </c>
    </row>
    <row r="79" spans="1:9" ht="15.75">
      <c r="A79" s="6" t="s">
        <v>42</v>
      </c>
    </row>
    <row r="80" spans="1:9" ht="31.5">
      <c r="A80" s="34" t="s">
        <v>60</v>
      </c>
      <c r="B80" s="37">
        <f>3217.72+11524+3712.1</f>
        <v>18453.82</v>
      </c>
    </row>
    <row r="81" spans="1:3" ht="33" customHeight="1">
      <c r="A81" s="35" t="s">
        <v>58</v>
      </c>
    </row>
    <row r="82" spans="1:3" ht="15.75">
      <c r="A82" s="12">
        <f>D74-D12</f>
        <v>226185.86763199978</v>
      </c>
      <c r="B82" s="47"/>
    </row>
    <row r="83" spans="1:3" ht="31.5">
      <c r="A83" s="33" t="s">
        <v>76</v>
      </c>
      <c r="B83" s="38"/>
      <c r="C83" s="54"/>
    </row>
    <row r="84" spans="1:3" ht="15.75">
      <c r="A84" s="36">
        <f>(D74/B80)/12</f>
        <v>16.169153604475024</v>
      </c>
    </row>
    <row r="85" spans="1:3" ht="90">
      <c r="A85" s="49" t="s">
        <v>88</v>
      </c>
      <c r="B85" s="35" t="s">
        <v>75</v>
      </c>
    </row>
    <row r="86" spans="1:3">
      <c r="B86" s="39">
        <f>A82-C83</f>
        <v>226185.86763199978</v>
      </c>
    </row>
    <row r="88" spans="1:3">
      <c r="A88" s="56" t="s">
        <v>80</v>
      </c>
      <c r="B88" s="56" t="s">
        <v>82</v>
      </c>
      <c r="C88" s="55" t="s">
        <v>81</v>
      </c>
    </row>
  </sheetData>
  <mergeCells count="11">
    <mergeCell ref="D1:D2"/>
    <mergeCell ref="B1:C2"/>
    <mergeCell ref="A3:D3"/>
    <mergeCell ref="A5:A8"/>
    <mergeCell ref="A74:B74"/>
    <mergeCell ref="A67:A71"/>
    <mergeCell ref="A9:A11"/>
    <mergeCell ref="A61:A65"/>
    <mergeCell ref="A46:A59"/>
    <mergeCell ref="A33:A44"/>
    <mergeCell ref="A14:A3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tabSelected="1" topLeftCell="A72" zoomScale="75" zoomScaleNormal="75" workbookViewId="0">
      <selection activeCell="B88" sqref="B88"/>
    </sheetView>
  </sheetViews>
  <sheetFormatPr defaultRowHeight="15"/>
  <cols>
    <col min="1" max="1" width="37.85546875" style="43" customWidth="1"/>
    <col min="2" max="2" width="62.7109375" style="43" customWidth="1"/>
    <col min="3" max="3" width="14.28515625" style="44" customWidth="1"/>
    <col min="4" max="4" width="15.85546875" style="44" customWidth="1"/>
    <col min="5" max="5" width="14.28515625" customWidth="1"/>
    <col min="6" max="6" width="16.7109375" customWidth="1"/>
    <col min="7" max="7" width="27.28515625" customWidth="1"/>
  </cols>
  <sheetData>
    <row r="1" spans="1:9" ht="24.75" customHeight="1">
      <c r="A1" s="117" t="s">
        <v>122</v>
      </c>
      <c r="B1" s="118"/>
      <c r="C1" s="118"/>
      <c r="D1" s="118"/>
    </row>
    <row r="2" spans="1:9" ht="36" customHeight="1">
      <c r="A2" s="70" t="s">
        <v>38</v>
      </c>
      <c r="B2" s="71"/>
      <c r="C2" s="8" t="s">
        <v>96</v>
      </c>
      <c r="D2" s="8" t="s">
        <v>97</v>
      </c>
      <c r="E2" s="50"/>
      <c r="F2" s="50"/>
      <c r="G2" s="50"/>
      <c r="H2" s="50"/>
      <c r="I2" s="50"/>
    </row>
    <row r="3" spans="1:9" ht="58.5" customHeight="1">
      <c r="A3" s="119" t="s">
        <v>40</v>
      </c>
      <c r="B3" s="18" t="s">
        <v>84</v>
      </c>
      <c r="C3" s="45">
        <v>35400</v>
      </c>
      <c r="D3" s="45">
        <v>45900</v>
      </c>
      <c r="E3" s="50"/>
      <c r="F3" s="50"/>
      <c r="G3" s="50"/>
      <c r="H3" s="50"/>
      <c r="I3" s="50"/>
    </row>
    <row r="4" spans="1:9" ht="44.25" customHeight="1">
      <c r="A4" s="119"/>
      <c r="B4" s="18" t="s">
        <v>85</v>
      </c>
      <c r="C4" s="45">
        <v>6240</v>
      </c>
      <c r="D4" s="45">
        <v>3120</v>
      </c>
      <c r="E4" s="50"/>
      <c r="F4" s="50"/>
      <c r="G4" s="50"/>
      <c r="H4" s="50"/>
      <c r="I4" s="50"/>
    </row>
    <row r="5" spans="1:9" ht="30.75" customHeight="1">
      <c r="A5" s="119"/>
      <c r="B5" s="18" t="s">
        <v>95</v>
      </c>
      <c r="C5" s="45">
        <v>56000</v>
      </c>
      <c r="D5" s="45">
        <v>59150</v>
      </c>
      <c r="E5" s="50"/>
      <c r="F5" s="51"/>
      <c r="G5" s="50"/>
      <c r="H5" s="50"/>
      <c r="I5" s="50"/>
    </row>
    <row r="6" spans="1:9" ht="42.75" customHeight="1">
      <c r="A6" s="119"/>
      <c r="B6" s="18" t="s">
        <v>86</v>
      </c>
      <c r="C6" s="45">
        <v>21600</v>
      </c>
      <c r="D6" s="45">
        <v>20600</v>
      </c>
      <c r="E6" s="50"/>
      <c r="F6" s="51"/>
      <c r="G6" s="51"/>
      <c r="H6" s="50"/>
      <c r="I6" s="50"/>
    </row>
    <row r="7" spans="1:9" ht="15.75" customHeight="1">
      <c r="A7" s="110" t="s">
        <v>87</v>
      </c>
      <c r="B7" s="18" t="s">
        <v>72</v>
      </c>
      <c r="C7" s="45">
        <v>564130.67000000004</v>
      </c>
      <c r="D7" s="45">
        <v>595530</v>
      </c>
      <c r="E7" s="50"/>
      <c r="F7" s="50"/>
      <c r="G7" s="50"/>
      <c r="H7" s="50"/>
      <c r="I7" s="50"/>
    </row>
    <row r="8" spans="1:9" ht="18">
      <c r="A8" s="110"/>
      <c r="B8" s="18" t="s">
        <v>73</v>
      </c>
      <c r="C8" s="45">
        <v>2020229.89</v>
      </c>
      <c r="D8" s="45">
        <v>2048388</v>
      </c>
      <c r="E8" s="50"/>
      <c r="F8" s="50"/>
      <c r="G8" s="50"/>
      <c r="H8" s="50"/>
      <c r="I8" s="50"/>
    </row>
    <row r="9" spans="1:9" ht="18">
      <c r="A9" s="110"/>
      <c r="B9" s="18" t="s">
        <v>74</v>
      </c>
      <c r="C9" s="45">
        <v>650805.37</v>
      </c>
      <c r="D9" s="45">
        <v>649022</v>
      </c>
      <c r="E9" s="50"/>
      <c r="F9" s="51"/>
      <c r="G9" s="51"/>
      <c r="H9" s="50"/>
      <c r="I9" s="50"/>
    </row>
    <row r="10" spans="1:9" ht="36.75" customHeight="1">
      <c r="A10" s="70" t="s">
        <v>114</v>
      </c>
      <c r="B10" s="18"/>
      <c r="C10" s="45"/>
      <c r="D10" s="45">
        <v>114004</v>
      </c>
      <c r="E10" s="50"/>
      <c r="F10" s="51"/>
      <c r="G10" s="51"/>
      <c r="H10" s="50"/>
      <c r="I10" s="50"/>
    </row>
    <row r="11" spans="1:9" ht="17.25" customHeight="1">
      <c r="A11" s="70" t="s">
        <v>110</v>
      </c>
      <c r="B11" s="18"/>
      <c r="C11" s="45"/>
      <c r="D11" s="45">
        <v>73391.44</v>
      </c>
      <c r="E11" s="50"/>
      <c r="F11" s="51"/>
      <c r="G11" s="51"/>
      <c r="H11" s="50"/>
      <c r="I11" s="50"/>
    </row>
    <row r="12" spans="1:9" ht="15.75" customHeight="1">
      <c r="A12" s="81" t="s">
        <v>39</v>
      </c>
      <c r="B12" s="82"/>
      <c r="C12" s="79">
        <f>SUM(C3:C11)</f>
        <v>3354405.93</v>
      </c>
      <c r="D12" s="79">
        <f>SUM(D3:D11)</f>
        <v>3609105.44</v>
      </c>
      <c r="E12" s="50"/>
      <c r="F12" s="51"/>
      <c r="G12" s="51"/>
      <c r="H12" s="50"/>
      <c r="I12" s="50"/>
    </row>
    <row r="13" spans="1:9" ht="33.75" customHeight="1">
      <c r="A13" s="72" t="s">
        <v>0</v>
      </c>
      <c r="B13" s="7"/>
      <c r="C13" s="8" t="s">
        <v>96</v>
      </c>
      <c r="D13" s="8" t="s">
        <v>97</v>
      </c>
      <c r="E13" s="50"/>
      <c r="F13" s="50"/>
      <c r="G13" s="50"/>
      <c r="H13" s="50"/>
      <c r="I13" s="50"/>
    </row>
    <row r="14" spans="1:9" ht="21" customHeight="1">
      <c r="A14" s="116" t="s">
        <v>37</v>
      </c>
      <c r="B14" s="1" t="s">
        <v>1</v>
      </c>
      <c r="C14" s="53">
        <v>12000</v>
      </c>
      <c r="D14" s="53">
        <v>1139.5999999999999</v>
      </c>
      <c r="E14" s="50"/>
      <c r="F14" s="50"/>
      <c r="G14" s="50"/>
      <c r="H14" s="50"/>
      <c r="I14" s="50"/>
    </row>
    <row r="15" spans="1:9" ht="29.25" customHeight="1">
      <c r="A15" s="116"/>
      <c r="B15" s="1" t="s">
        <v>108</v>
      </c>
      <c r="C15" s="53">
        <v>57000</v>
      </c>
      <c r="D15" s="67">
        <v>50825.22</v>
      </c>
      <c r="E15" s="50"/>
      <c r="F15" s="50"/>
      <c r="G15" s="50"/>
      <c r="H15" s="50"/>
      <c r="I15" s="50"/>
    </row>
    <row r="16" spans="1:9" ht="52.5" customHeight="1">
      <c r="A16" s="116"/>
      <c r="B16" s="1" t="s">
        <v>92</v>
      </c>
      <c r="C16" s="53">
        <v>30000</v>
      </c>
      <c r="D16" s="67">
        <v>11000</v>
      </c>
      <c r="E16" s="50"/>
      <c r="F16" s="50"/>
      <c r="H16" s="50"/>
      <c r="I16" s="50"/>
    </row>
    <row r="17" spans="1:9" ht="28.5" customHeight="1">
      <c r="A17" s="116"/>
      <c r="B17" s="1" t="s">
        <v>57</v>
      </c>
      <c r="C17" s="53">
        <v>20000</v>
      </c>
      <c r="D17" s="67">
        <v>23500</v>
      </c>
      <c r="E17" s="50"/>
      <c r="F17" s="50"/>
      <c r="H17" s="50"/>
      <c r="I17" s="50"/>
    </row>
    <row r="18" spans="1:9" ht="25.5">
      <c r="A18" s="116"/>
      <c r="B18" s="1" t="s">
        <v>3</v>
      </c>
      <c r="C18" s="53">
        <v>45000</v>
      </c>
      <c r="D18" s="67">
        <v>8900</v>
      </c>
      <c r="E18" s="50"/>
      <c r="F18" s="50"/>
      <c r="G18" s="50"/>
      <c r="H18" s="50"/>
      <c r="I18" s="50"/>
    </row>
    <row r="19" spans="1:9" ht="18" customHeight="1">
      <c r="A19" s="116"/>
      <c r="B19" s="1" t="s">
        <v>4</v>
      </c>
      <c r="C19" s="53">
        <v>16000</v>
      </c>
      <c r="D19" s="67">
        <v>0</v>
      </c>
      <c r="E19" s="50"/>
      <c r="F19" s="50"/>
      <c r="G19" s="50"/>
      <c r="H19" s="50"/>
      <c r="I19" s="50"/>
    </row>
    <row r="20" spans="1:9" ht="25.5">
      <c r="A20" s="116"/>
      <c r="B20" s="1" t="s">
        <v>59</v>
      </c>
      <c r="C20" s="53">
        <v>5000</v>
      </c>
      <c r="D20" s="67">
        <v>0</v>
      </c>
      <c r="E20" s="50"/>
      <c r="F20" s="50"/>
      <c r="G20" s="50"/>
      <c r="H20" s="50"/>
      <c r="I20" s="50"/>
    </row>
    <row r="21" spans="1:9" ht="22.5" customHeight="1">
      <c r="A21" s="116"/>
      <c r="B21" s="1" t="s">
        <v>5</v>
      </c>
      <c r="C21" s="53">
        <v>15000</v>
      </c>
      <c r="D21" s="67">
        <v>0</v>
      </c>
      <c r="E21" s="50"/>
      <c r="F21" s="50"/>
      <c r="G21" s="50"/>
      <c r="H21" s="50"/>
      <c r="I21" s="50"/>
    </row>
    <row r="22" spans="1:9">
      <c r="A22" s="116"/>
      <c r="B22" s="1" t="s">
        <v>79</v>
      </c>
      <c r="C22" s="53">
        <v>59400</v>
      </c>
      <c r="D22" s="67">
        <f>19800*3</f>
        <v>59400</v>
      </c>
      <c r="E22" s="50"/>
      <c r="F22" s="50"/>
      <c r="G22" s="50"/>
      <c r="H22" s="50"/>
      <c r="I22" s="50"/>
    </row>
    <row r="23" spans="1:9" ht="41.25" customHeight="1">
      <c r="A23" s="116"/>
      <c r="B23" s="1" t="s">
        <v>7</v>
      </c>
      <c r="C23" s="53">
        <v>30000</v>
      </c>
      <c r="D23" s="67">
        <v>55293.26</v>
      </c>
      <c r="E23" s="50"/>
      <c r="H23" s="50"/>
      <c r="I23" s="50"/>
    </row>
    <row r="24" spans="1:9" ht="51.75" customHeight="1">
      <c r="A24" s="116"/>
      <c r="B24" s="1" t="s">
        <v>90</v>
      </c>
      <c r="C24" s="53">
        <v>100000</v>
      </c>
      <c r="D24" s="67">
        <v>107482</v>
      </c>
      <c r="E24" s="50"/>
      <c r="F24" s="50"/>
      <c r="H24" s="50"/>
      <c r="I24" s="50"/>
    </row>
    <row r="25" spans="1:9" ht="17.25" customHeight="1">
      <c r="A25" s="116"/>
      <c r="B25" s="1" t="s">
        <v>8</v>
      </c>
      <c r="C25" s="53">
        <v>50000</v>
      </c>
      <c r="D25" s="67">
        <v>0</v>
      </c>
      <c r="E25" s="50"/>
      <c r="F25" s="50"/>
      <c r="G25" s="50"/>
      <c r="H25" s="50"/>
      <c r="I25" s="50"/>
    </row>
    <row r="26" spans="1:9" ht="102">
      <c r="A26" s="116"/>
      <c r="B26" s="1" t="s">
        <v>9</v>
      </c>
      <c r="C26" s="53">
        <v>2500</v>
      </c>
      <c r="D26" s="73">
        <v>0</v>
      </c>
      <c r="E26" s="50"/>
      <c r="F26" s="50"/>
      <c r="G26" s="50"/>
      <c r="H26" s="50"/>
      <c r="I26" s="50"/>
    </row>
    <row r="27" spans="1:9" ht="51">
      <c r="A27" s="116"/>
      <c r="B27" s="1" t="s">
        <v>10</v>
      </c>
      <c r="C27" s="53">
        <v>15000</v>
      </c>
      <c r="D27" s="67">
        <v>0</v>
      </c>
      <c r="E27" s="50"/>
      <c r="F27" s="50"/>
      <c r="G27" s="50"/>
      <c r="H27" s="50"/>
      <c r="I27" s="50"/>
    </row>
    <row r="28" spans="1:9" ht="58.5" customHeight="1">
      <c r="A28" s="116"/>
      <c r="B28" s="1" t="s">
        <v>11</v>
      </c>
      <c r="C28" s="53">
        <v>24000</v>
      </c>
      <c r="D28" s="67">
        <v>20303.11</v>
      </c>
      <c r="E28" s="50"/>
      <c r="F28" s="50"/>
      <c r="G28" s="50"/>
      <c r="H28" s="50"/>
      <c r="I28" s="50"/>
    </row>
    <row r="29" spans="1:9" ht="25.5" customHeight="1">
      <c r="A29" s="116"/>
      <c r="B29" s="1" t="s">
        <v>65</v>
      </c>
      <c r="C29" s="53">
        <v>10000</v>
      </c>
      <c r="D29" s="67">
        <v>11500</v>
      </c>
      <c r="E29" s="50"/>
      <c r="F29" s="50"/>
      <c r="H29" s="50"/>
      <c r="I29" s="50"/>
    </row>
    <row r="30" spans="1:9" ht="38.25">
      <c r="A30" s="116"/>
      <c r="B30" s="1" t="s">
        <v>12</v>
      </c>
      <c r="C30" s="53">
        <v>30000</v>
      </c>
      <c r="D30" s="67">
        <v>20696</v>
      </c>
      <c r="E30" s="50"/>
      <c r="F30" s="50"/>
      <c r="H30" s="50"/>
      <c r="I30" s="50"/>
    </row>
    <row r="31" spans="1:9" ht="54">
      <c r="A31" s="116"/>
      <c r="B31" s="1" t="s">
        <v>115</v>
      </c>
      <c r="C31" s="120">
        <v>100000</v>
      </c>
      <c r="D31" s="90">
        <v>11500</v>
      </c>
      <c r="E31" s="50"/>
      <c r="F31" s="50"/>
      <c r="H31" s="50"/>
      <c r="I31" s="50"/>
    </row>
    <row r="32" spans="1:9" ht="31.5" customHeight="1">
      <c r="A32" s="116"/>
      <c r="B32" s="98" t="s">
        <v>124</v>
      </c>
      <c r="C32" s="121"/>
      <c r="D32" s="91">
        <v>98272.21</v>
      </c>
      <c r="E32" s="50"/>
      <c r="F32" s="50"/>
      <c r="H32" s="50"/>
      <c r="I32" s="50"/>
    </row>
    <row r="33" spans="1:9" ht="26.25" customHeight="1">
      <c r="A33" s="15" t="s">
        <v>54</v>
      </c>
      <c r="B33" s="15"/>
      <c r="C33" s="16">
        <f>SUM(C14:C31)</f>
        <v>620900</v>
      </c>
      <c r="D33" s="16">
        <f>SUM(D14:D32)</f>
        <v>479811.4</v>
      </c>
      <c r="E33" s="50"/>
      <c r="F33" s="50"/>
      <c r="G33" s="50"/>
      <c r="H33" s="50"/>
      <c r="I33" s="50"/>
    </row>
    <row r="34" spans="1:9" ht="18.75" customHeight="1">
      <c r="A34" s="110" t="s">
        <v>89</v>
      </c>
      <c r="B34" s="17" t="s">
        <v>61</v>
      </c>
      <c r="C34" s="53">
        <v>339600</v>
      </c>
      <c r="D34" s="53">
        <v>356688</v>
      </c>
      <c r="E34" s="50"/>
      <c r="F34" s="50"/>
      <c r="G34" s="50"/>
      <c r="H34" s="50"/>
      <c r="I34" s="50"/>
    </row>
    <row r="35" spans="1:9" ht="15" customHeight="1">
      <c r="A35" s="110"/>
      <c r="B35" s="17" t="s">
        <v>29</v>
      </c>
      <c r="C35" s="53">
        <v>230760</v>
      </c>
      <c r="D35" s="53">
        <v>318344.03000000003</v>
      </c>
      <c r="E35" s="50"/>
      <c r="F35" s="50"/>
      <c r="G35" s="50"/>
      <c r="H35" s="50"/>
      <c r="I35" s="50"/>
    </row>
    <row r="36" spans="1:9" ht="15" customHeight="1">
      <c r="A36" s="110"/>
      <c r="B36" s="17" t="s">
        <v>70</v>
      </c>
      <c r="C36" s="53">
        <v>304200</v>
      </c>
      <c r="D36" s="53">
        <v>317962.68</v>
      </c>
      <c r="E36" s="50"/>
      <c r="F36" s="50"/>
      <c r="G36" s="50"/>
      <c r="H36" s="50"/>
      <c r="I36" s="50"/>
    </row>
    <row r="37" spans="1:9" ht="15" customHeight="1">
      <c r="A37" s="110"/>
      <c r="B37" s="17" t="s">
        <v>31</v>
      </c>
      <c r="C37" s="2">
        <v>102720</v>
      </c>
      <c r="D37" s="53">
        <v>95824.34</v>
      </c>
      <c r="E37" s="50"/>
      <c r="F37" s="50"/>
      <c r="G37" s="50"/>
      <c r="H37" s="50"/>
      <c r="I37" s="50"/>
    </row>
    <row r="38" spans="1:9" ht="15" customHeight="1">
      <c r="A38" s="110"/>
      <c r="B38" s="17" t="s">
        <v>32</v>
      </c>
      <c r="C38" s="2">
        <v>188760</v>
      </c>
      <c r="D38" s="53">
        <v>212004</v>
      </c>
      <c r="E38" s="50"/>
      <c r="F38" s="50"/>
      <c r="G38" s="50"/>
      <c r="H38" s="50"/>
      <c r="I38" s="50"/>
    </row>
    <row r="39" spans="1:9" ht="15" customHeight="1">
      <c r="A39" s="110"/>
      <c r="B39" s="17" t="s">
        <v>33</v>
      </c>
      <c r="C39" s="53">
        <v>108600</v>
      </c>
      <c r="D39" s="53">
        <v>125394.14</v>
      </c>
      <c r="E39" s="50"/>
      <c r="F39" s="50"/>
      <c r="G39" s="50"/>
      <c r="H39" s="50"/>
      <c r="I39" s="50"/>
    </row>
    <row r="40" spans="1:9" ht="15" customHeight="1">
      <c r="A40" s="110"/>
      <c r="B40" s="17" t="s">
        <v>34</v>
      </c>
      <c r="C40" s="53">
        <v>108600</v>
      </c>
      <c r="D40" s="53">
        <v>145215.26</v>
      </c>
      <c r="E40" s="50"/>
      <c r="F40" s="50"/>
      <c r="G40" s="50"/>
      <c r="H40" s="50"/>
      <c r="I40" s="50"/>
    </row>
    <row r="41" spans="1:9" ht="15" customHeight="1">
      <c r="A41" s="110"/>
      <c r="B41" s="17" t="s">
        <v>71</v>
      </c>
      <c r="C41" s="53">
        <v>224040</v>
      </c>
      <c r="D41" s="53">
        <v>214627.95</v>
      </c>
      <c r="E41" s="50"/>
      <c r="F41" s="50"/>
      <c r="G41" s="50"/>
      <c r="H41" s="50"/>
      <c r="I41" s="50"/>
    </row>
    <row r="42" spans="1:9" ht="15" customHeight="1">
      <c r="A42" s="110"/>
      <c r="B42" s="17" t="s">
        <v>13</v>
      </c>
      <c r="C42" s="53">
        <v>74760</v>
      </c>
      <c r="D42" s="53">
        <v>81096.28</v>
      </c>
      <c r="E42" s="50"/>
      <c r="F42" s="50"/>
      <c r="G42" s="50"/>
      <c r="H42" s="50"/>
      <c r="I42" s="50"/>
    </row>
    <row r="43" spans="1:9" ht="15" customHeight="1">
      <c r="A43" s="110"/>
      <c r="B43" s="17" t="s">
        <v>14</v>
      </c>
      <c r="C43" s="53">
        <v>63000</v>
      </c>
      <c r="D43" s="53">
        <v>0</v>
      </c>
      <c r="E43" s="50"/>
      <c r="F43" s="50"/>
      <c r="G43" s="50"/>
      <c r="H43" s="50"/>
      <c r="I43" s="50"/>
    </row>
    <row r="44" spans="1:9" ht="63" customHeight="1">
      <c r="A44" s="110"/>
      <c r="B44" s="17" t="s">
        <v>30</v>
      </c>
      <c r="C44" s="53">
        <v>87012</v>
      </c>
      <c r="D44" s="53" t="s">
        <v>112</v>
      </c>
      <c r="E44" s="50"/>
      <c r="F44" s="50"/>
      <c r="G44" s="50"/>
      <c r="H44" s="50"/>
      <c r="I44" s="50"/>
    </row>
    <row r="45" spans="1:9" ht="25.5" customHeight="1">
      <c r="A45" s="110"/>
      <c r="B45" s="17" t="s">
        <v>83</v>
      </c>
      <c r="C45" s="53">
        <v>30000</v>
      </c>
      <c r="D45" s="53" t="s">
        <v>113</v>
      </c>
      <c r="E45" s="50"/>
      <c r="F45" s="50"/>
      <c r="G45" s="50"/>
      <c r="H45" s="50"/>
      <c r="I45" s="50"/>
    </row>
    <row r="46" spans="1:9" ht="13.5" customHeight="1">
      <c r="A46" s="15" t="s">
        <v>15</v>
      </c>
      <c r="B46" s="15"/>
      <c r="C46" s="16">
        <f>SUM(C34:C45)</f>
        <v>1862052</v>
      </c>
      <c r="D46" s="16">
        <f>SUM(D34:D45)</f>
        <v>1867156.68</v>
      </c>
      <c r="E46" s="50"/>
      <c r="F46" s="50"/>
      <c r="G46" s="50"/>
      <c r="H46" s="50"/>
      <c r="I46" s="50"/>
    </row>
    <row r="47" spans="1:9" ht="15" customHeight="1">
      <c r="A47" s="113" t="s">
        <v>52</v>
      </c>
      <c r="B47" s="10" t="s">
        <v>47</v>
      </c>
      <c r="C47" s="11"/>
      <c r="D47" s="11"/>
      <c r="E47" s="50"/>
      <c r="F47" s="50"/>
      <c r="G47" s="50"/>
      <c r="H47" s="50"/>
      <c r="I47" s="50"/>
    </row>
    <row r="48" spans="1:9" ht="25.5">
      <c r="A48" s="114"/>
      <c r="B48" s="3" t="s">
        <v>50</v>
      </c>
      <c r="C48" s="53">
        <v>12000</v>
      </c>
      <c r="D48" s="67">
        <v>0</v>
      </c>
      <c r="E48" s="50"/>
      <c r="F48" s="50"/>
      <c r="G48" s="50"/>
      <c r="H48" s="50"/>
      <c r="I48" s="50"/>
    </row>
    <row r="49" spans="1:9" ht="15" customHeight="1">
      <c r="A49" s="114"/>
      <c r="B49" s="3" t="s">
        <v>48</v>
      </c>
      <c r="C49" s="53">
        <v>18000</v>
      </c>
      <c r="D49" s="67">
        <v>18000</v>
      </c>
      <c r="E49" s="50"/>
      <c r="F49" s="50"/>
      <c r="G49" s="50"/>
      <c r="H49" s="50"/>
      <c r="I49" s="50"/>
    </row>
    <row r="50" spans="1:9" ht="15" customHeight="1">
      <c r="A50" s="114"/>
      <c r="B50" s="3" t="s">
        <v>16</v>
      </c>
      <c r="C50" s="53">
        <v>12000</v>
      </c>
      <c r="D50" s="53">
        <v>21524.55</v>
      </c>
      <c r="E50" s="50"/>
      <c r="F50" s="50"/>
      <c r="G50" s="50"/>
      <c r="H50" s="50"/>
      <c r="I50" s="50"/>
    </row>
    <row r="51" spans="1:9" ht="15" customHeight="1">
      <c r="A51" s="114"/>
      <c r="B51" s="3" t="s">
        <v>17</v>
      </c>
      <c r="C51" s="53">
        <v>14748</v>
      </c>
      <c r="D51" s="53">
        <v>1105</v>
      </c>
      <c r="E51" s="50"/>
      <c r="F51" s="50"/>
      <c r="G51" s="50"/>
      <c r="H51" s="50"/>
      <c r="I51" s="50"/>
    </row>
    <row r="52" spans="1:9" ht="25.5">
      <c r="A52" s="114"/>
      <c r="B52" s="9" t="s">
        <v>49</v>
      </c>
      <c r="C52" s="53">
        <v>4608</v>
      </c>
      <c r="D52" s="53">
        <v>1958.88</v>
      </c>
      <c r="E52" s="50"/>
      <c r="F52" s="50"/>
      <c r="G52" s="50"/>
      <c r="H52" s="50"/>
      <c r="I52" s="50"/>
    </row>
    <row r="53" spans="1:9" ht="25.5">
      <c r="A53" s="114"/>
      <c r="B53" s="9" t="s">
        <v>45</v>
      </c>
      <c r="C53" s="53">
        <v>8400</v>
      </c>
      <c r="D53" s="53">
        <v>0</v>
      </c>
      <c r="E53" s="51"/>
      <c r="F53" s="50"/>
      <c r="G53" s="50"/>
      <c r="H53" s="50"/>
      <c r="I53" s="50"/>
    </row>
    <row r="54" spans="1:9" ht="24" customHeight="1">
      <c r="A54" s="114"/>
      <c r="B54" s="9" t="s">
        <v>46</v>
      </c>
      <c r="C54" s="53">
        <v>1740</v>
      </c>
      <c r="D54" s="53">
        <v>0</v>
      </c>
      <c r="E54" s="50"/>
      <c r="F54" s="50"/>
      <c r="G54" s="50"/>
      <c r="H54" s="50"/>
      <c r="I54" s="50"/>
    </row>
    <row r="55" spans="1:9" ht="17.25" customHeight="1">
      <c r="A55" s="114"/>
      <c r="B55" s="18" t="s">
        <v>6</v>
      </c>
      <c r="C55" s="53">
        <v>15000</v>
      </c>
      <c r="D55" s="53">
        <v>0</v>
      </c>
      <c r="E55" s="50"/>
      <c r="F55" s="50"/>
      <c r="G55" s="50"/>
      <c r="H55" s="50"/>
      <c r="I55" s="50"/>
    </row>
    <row r="56" spans="1:9" ht="15" customHeight="1">
      <c r="A56" s="114"/>
      <c r="B56" s="3" t="s">
        <v>18</v>
      </c>
      <c r="C56" s="53">
        <v>7200</v>
      </c>
      <c r="D56" s="53">
        <v>5051.6899999999996</v>
      </c>
      <c r="E56" s="50"/>
      <c r="F56" s="50"/>
      <c r="G56" s="50"/>
      <c r="H56" s="50"/>
      <c r="I56" s="50"/>
    </row>
    <row r="57" spans="1:9" ht="26.25" customHeight="1">
      <c r="A57" s="114"/>
      <c r="B57" s="3" t="s">
        <v>68</v>
      </c>
      <c r="C57" s="53">
        <v>15000</v>
      </c>
      <c r="D57" s="53">
        <v>5000</v>
      </c>
      <c r="E57" s="50"/>
      <c r="F57" s="50"/>
      <c r="G57" s="50"/>
      <c r="H57" s="50"/>
      <c r="I57" s="50"/>
    </row>
    <row r="58" spans="1:9" ht="23.25" customHeight="1">
      <c r="A58" s="114"/>
      <c r="B58" s="4" t="s">
        <v>36</v>
      </c>
      <c r="C58" s="53">
        <v>10000</v>
      </c>
      <c r="D58" s="53">
        <v>15000</v>
      </c>
      <c r="E58" s="50"/>
      <c r="F58" s="50"/>
      <c r="H58" s="50"/>
      <c r="I58" s="50"/>
    </row>
    <row r="59" spans="1:9" ht="25.5">
      <c r="A59" s="114"/>
      <c r="B59" s="3" t="s">
        <v>19</v>
      </c>
      <c r="C59" s="53">
        <v>2500</v>
      </c>
      <c r="D59" s="53">
        <v>0</v>
      </c>
      <c r="E59" s="50"/>
      <c r="F59" s="50"/>
      <c r="G59" s="50"/>
      <c r="H59" s="50"/>
      <c r="I59" s="50"/>
    </row>
    <row r="60" spans="1:9" ht="81.75" customHeight="1">
      <c r="A60" s="114"/>
      <c r="B60" s="3" t="s">
        <v>91</v>
      </c>
      <c r="C60" s="53">
        <v>70000</v>
      </c>
      <c r="D60" s="53">
        <v>43248</v>
      </c>
      <c r="E60" s="50"/>
      <c r="F60" s="50"/>
      <c r="G60" s="50"/>
      <c r="H60" s="50"/>
      <c r="I60" s="50"/>
    </row>
    <row r="61" spans="1:9" ht="21" customHeight="1">
      <c r="A61" s="115"/>
      <c r="B61" s="3" t="s">
        <v>118</v>
      </c>
      <c r="C61" s="53"/>
      <c r="D61" s="53">
        <v>43570</v>
      </c>
      <c r="E61" s="50"/>
      <c r="F61" s="50"/>
      <c r="G61" s="50"/>
      <c r="H61" s="50"/>
      <c r="I61" s="50"/>
    </row>
    <row r="62" spans="1:9" ht="15" customHeight="1">
      <c r="A62" s="19" t="s">
        <v>78</v>
      </c>
      <c r="B62" s="19"/>
      <c r="C62" s="16">
        <f>SUM(C48:C60)</f>
        <v>191196</v>
      </c>
      <c r="D62" s="16">
        <f>SUM(D48:D50,D52:D61)</f>
        <v>153353.12</v>
      </c>
      <c r="E62" s="50"/>
      <c r="F62" s="50"/>
      <c r="G62" s="50"/>
      <c r="H62" s="50"/>
      <c r="I62" s="50"/>
    </row>
    <row r="63" spans="1:9" ht="15.75" customHeight="1">
      <c r="A63" s="110" t="s">
        <v>53</v>
      </c>
      <c r="B63" s="13" t="s">
        <v>21</v>
      </c>
      <c r="C63" s="53">
        <v>109200</v>
      </c>
      <c r="D63" s="53">
        <v>113143.85</v>
      </c>
      <c r="E63" s="50"/>
      <c r="F63" s="50"/>
      <c r="G63" s="50"/>
      <c r="H63" s="50"/>
      <c r="I63" s="50"/>
    </row>
    <row r="64" spans="1:9" ht="27.75" customHeight="1">
      <c r="A64" s="110"/>
      <c r="B64" s="13" t="s">
        <v>51</v>
      </c>
      <c r="C64" s="53">
        <v>120124.92</v>
      </c>
      <c r="D64" s="53">
        <v>119446.25</v>
      </c>
      <c r="E64" s="50"/>
      <c r="F64" s="50"/>
      <c r="G64" s="50"/>
      <c r="H64" s="50"/>
      <c r="I64" s="50"/>
    </row>
    <row r="65" spans="1:9" ht="13.5" customHeight="1">
      <c r="A65" s="110"/>
      <c r="B65" s="13" t="s">
        <v>66</v>
      </c>
      <c r="C65" s="53">
        <v>1500</v>
      </c>
      <c r="D65" s="53">
        <v>1500</v>
      </c>
      <c r="E65" s="50"/>
      <c r="F65" s="50"/>
      <c r="G65" s="50"/>
      <c r="H65" s="50"/>
      <c r="I65" s="50"/>
    </row>
    <row r="66" spans="1:9" ht="27.75" customHeight="1">
      <c r="A66" s="110"/>
      <c r="B66" s="13" t="s">
        <v>67</v>
      </c>
      <c r="C66" s="53">
        <v>4995</v>
      </c>
      <c r="D66" s="53">
        <v>4995.45</v>
      </c>
      <c r="E66" s="50"/>
      <c r="F66" s="50"/>
      <c r="G66" s="50"/>
      <c r="H66" s="50"/>
      <c r="I66" s="50"/>
    </row>
    <row r="67" spans="1:9" ht="19.5" customHeight="1">
      <c r="A67" s="110"/>
      <c r="B67" s="13" t="s">
        <v>117</v>
      </c>
      <c r="C67" s="53">
        <v>32400</v>
      </c>
      <c r="D67" s="53">
        <v>41370.5</v>
      </c>
      <c r="E67" s="50"/>
      <c r="F67" s="50"/>
      <c r="G67" s="51"/>
      <c r="H67" s="50"/>
      <c r="I67" s="50"/>
    </row>
    <row r="68" spans="1:9" ht="15.75">
      <c r="A68" s="74" t="s">
        <v>56</v>
      </c>
      <c r="B68" s="74"/>
      <c r="C68" s="20">
        <f>SUM(C63:C67)</f>
        <v>268219.92</v>
      </c>
      <c r="D68" s="20">
        <f>SUM(D63:D67)</f>
        <v>280456.05000000005</v>
      </c>
      <c r="E68" s="50"/>
      <c r="F68" s="52"/>
      <c r="G68" s="52"/>
      <c r="H68" s="50"/>
      <c r="I68" s="50"/>
    </row>
    <row r="69" spans="1:9" ht="15.75" customHeight="1">
      <c r="A69" s="111" t="s">
        <v>64</v>
      </c>
      <c r="B69" s="88" t="s">
        <v>23</v>
      </c>
      <c r="C69" s="89">
        <v>100632.18</v>
      </c>
      <c r="D69" s="89">
        <v>101183</v>
      </c>
      <c r="E69" s="50"/>
      <c r="F69" s="52"/>
      <c r="G69" s="52"/>
      <c r="H69" s="50"/>
      <c r="I69" s="50"/>
    </row>
    <row r="70" spans="1:9" ht="15.75" customHeight="1">
      <c r="A70" s="111"/>
      <c r="B70" s="88" t="s">
        <v>24</v>
      </c>
      <c r="C70" s="89">
        <f>C46*22%</f>
        <v>409651.44</v>
      </c>
      <c r="D70" s="89">
        <v>504550</v>
      </c>
      <c r="E70" s="50"/>
      <c r="F70" s="50"/>
      <c r="G70" s="50"/>
      <c r="H70" s="50"/>
      <c r="I70" s="50"/>
    </row>
    <row r="71" spans="1:9" ht="15.75" customHeight="1">
      <c r="A71" s="111"/>
      <c r="B71" s="86" t="s">
        <v>99</v>
      </c>
      <c r="C71" s="87">
        <f>C46*13%</f>
        <v>242066.76</v>
      </c>
      <c r="D71" s="87">
        <v>269897.38</v>
      </c>
      <c r="E71" s="51"/>
      <c r="F71" s="50"/>
      <c r="G71" s="50"/>
      <c r="H71" s="50"/>
      <c r="I71" s="50"/>
    </row>
    <row r="72" spans="1:9" ht="15.75" customHeight="1">
      <c r="A72" s="111"/>
      <c r="B72" s="88" t="s">
        <v>25</v>
      </c>
      <c r="C72" s="89">
        <f>C46*0.2/100</f>
        <v>3724.1040000000003</v>
      </c>
      <c r="D72" s="89">
        <v>4590</v>
      </c>
      <c r="E72" s="50"/>
      <c r="F72" s="50"/>
      <c r="G72" s="50"/>
      <c r="H72" s="50"/>
      <c r="I72" s="50"/>
    </row>
    <row r="73" spans="1:9" ht="15.75" customHeight="1">
      <c r="A73" s="111"/>
      <c r="B73" s="88" t="s">
        <v>26</v>
      </c>
      <c r="C73" s="89">
        <f>C46*2.9/100</f>
        <v>53999.508000000002</v>
      </c>
      <c r="D73" s="89">
        <v>66528</v>
      </c>
      <c r="E73" s="50"/>
      <c r="F73" s="50"/>
      <c r="G73" s="50"/>
      <c r="H73" s="50"/>
      <c r="I73" s="50"/>
    </row>
    <row r="74" spans="1:9" ht="15.75" customHeight="1">
      <c r="A74" s="111"/>
      <c r="B74" s="88" t="s">
        <v>27</v>
      </c>
      <c r="C74" s="89">
        <f>C46*5.1/100</f>
        <v>94964.651999999987</v>
      </c>
      <c r="D74" s="89">
        <v>108921</v>
      </c>
      <c r="E74" s="50"/>
      <c r="F74" s="50"/>
      <c r="G74" s="50"/>
      <c r="H74" s="50"/>
      <c r="I74" s="50"/>
    </row>
    <row r="75" spans="1:9" ht="13.5" customHeight="1">
      <c r="A75" s="22" t="s">
        <v>55</v>
      </c>
      <c r="B75" s="22"/>
      <c r="C75" s="20">
        <f>SUM(C69:C74)</f>
        <v>905038.64400000009</v>
      </c>
      <c r="D75" s="20">
        <f>SUM(D69:D74)</f>
        <v>1055669.3799999999</v>
      </c>
      <c r="E75" s="50"/>
      <c r="F75" s="50"/>
      <c r="G75" s="50"/>
      <c r="H75" s="50"/>
      <c r="I75" s="50"/>
    </row>
    <row r="76" spans="1:9" ht="41.25" customHeight="1">
      <c r="A76" s="75" t="s">
        <v>116</v>
      </c>
      <c r="B76" s="75"/>
      <c r="C76" s="76">
        <f>C77-C62</f>
        <v>3414143.8040000005</v>
      </c>
      <c r="D76" s="76">
        <f>D77-D62</f>
        <v>3413196.13</v>
      </c>
      <c r="E76" s="50"/>
      <c r="F76" s="50"/>
      <c r="G76" s="50"/>
      <c r="H76" s="50"/>
      <c r="I76" s="50"/>
    </row>
    <row r="77" spans="1:9" ht="19.5" customHeight="1">
      <c r="A77" s="112" t="s">
        <v>28</v>
      </c>
      <c r="B77" s="112"/>
      <c r="C77" s="79">
        <f>C33+C46+C62+C68+C75-C71</f>
        <v>3605339.8040000005</v>
      </c>
      <c r="D77" s="80">
        <f>D33+D46+D62+D68+D75-D71</f>
        <v>3566549.25</v>
      </c>
      <c r="E77" s="50"/>
      <c r="F77" s="50"/>
      <c r="G77" s="50"/>
      <c r="H77" s="50"/>
      <c r="I77" s="50"/>
    </row>
    <row r="78" spans="1:9" s="85" customFormat="1" ht="19.5" customHeight="1">
      <c r="A78" s="83" t="s">
        <v>111</v>
      </c>
      <c r="B78" s="83"/>
      <c r="C78" s="84"/>
      <c r="D78" s="95">
        <f>C77-D77</f>
        <v>38790.554000000469</v>
      </c>
    </row>
    <row r="79" spans="1:9" ht="19.5" customHeight="1">
      <c r="A79" s="77" t="s">
        <v>109</v>
      </c>
      <c r="B79" s="78"/>
      <c r="C79" s="79"/>
      <c r="D79" s="80">
        <f>D12-D77</f>
        <v>42556.189999999944</v>
      </c>
      <c r="E79" s="50"/>
      <c r="F79" s="50"/>
      <c r="G79" s="50"/>
      <c r="H79" s="50"/>
      <c r="I79" s="50"/>
    </row>
    <row r="81" spans="1:5" ht="15.75">
      <c r="A81" s="5" t="s">
        <v>41</v>
      </c>
    </row>
    <row r="82" spans="1:5" ht="15.75">
      <c r="A82" s="6" t="s">
        <v>77</v>
      </c>
    </row>
    <row r="83" spans="1:5" ht="15.75">
      <c r="A83" s="6" t="s">
        <v>93</v>
      </c>
    </row>
    <row r="84" spans="1:5" ht="15.75">
      <c r="A84" s="6" t="s">
        <v>42</v>
      </c>
    </row>
    <row r="85" spans="1:5" ht="31.5">
      <c r="A85" s="34" t="s">
        <v>60</v>
      </c>
      <c r="B85" s="37">
        <f>3217.72+11524+3712.1</f>
        <v>18453.82</v>
      </c>
    </row>
    <row r="86" spans="1:5" ht="31.5">
      <c r="A86" s="93" t="s">
        <v>119</v>
      </c>
    </row>
    <row r="87" spans="1:5" ht="15.75">
      <c r="A87" s="92">
        <f>D12-D77</f>
        <v>42556.189999999944</v>
      </c>
      <c r="B87" s="47"/>
    </row>
    <row r="88" spans="1:5" ht="45">
      <c r="A88" s="33" t="s">
        <v>76</v>
      </c>
      <c r="B88" s="65" t="s">
        <v>88</v>
      </c>
      <c r="C88" s="54"/>
    </row>
    <row r="89" spans="1:5" ht="15.75">
      <c r="A89" s="36">
        <f>(D77/B85)/12</f>
        <v>16.105740572954542</v>
      </c>
    </row>
    <row r="90" spans="1:5" ht="18.75">
      <c r="A90" s="94" t="s">
        <v>120</v>
      </c>
      <c r="B90" s="35" t="s">
        <v>121</v>
      </c>
    </row>
    <row r="91" spans="1:5">
      <c r="B91" s="39"/>
    </row>
    <row r="93" spans="1:5">
      <c r="C93" s="55"/>
    </row>
    <row r="94" spans="1:5" ht="20.25">
      <c r="A94" s="97" t="s">
        <v>123</v>
      </c>
    </row>
    <row r="95" spans="1:5" ht="51">
      <c r="A95" s="96" t="s">
        <v>107</v>
      </c>
      <c r="B95" s="1" t="s">
        <v>7</v>
      </c>
      <c r="C95" s="53">
        <v>55293.26</v>
      </c>
      <c r="D95" s="67" t="s">
        <v>103</v>
      </c>
      <c r="E95" s="66"/>
    </row>
    <row r="96" spans="1:5" ht="51">
      <c r="B96" s="1" t="s">
        <v>92</v>
      </c>
      <c r="C96" s="53">
        <v>11000</v>
      </c>
      <c r="D96" s="67" t="s">
        <v>100</v>
      </c>
      <c r="E96" s="66"/>
    </row>
    <row r="97" spans="1:5" ht="25.5">
      <c r="B97" s="1" t="s">
        <v>57</v>
      </c>
      <c r="C97" s="53">
        <v>23500</v>
      </c>
      <c r="D97" s="67" t="s">
        <v>101</v>
      </c>
      <c r="E97" s="66"/>
    </row>
    <row r="98" spans="1:5" ht="51">
      <c r="B98" s="1" t="s">
        <v>90</v>
      </c>
      <c r="C98" s="53">
        <v>107482</v>
      </c>
      <c r="D98" s="67" t="s">
        <v>102</v>
      </c>
      <c r="E98" s="66"/>
    </row>
    <row r="99" spans="1:5" ht="32.25" customHeight="1">
      <c r="B99" s="1" t="s">
        <v>65</v>
      </c>
      <c r="C99" s="53">
        <v>11500</v>
      </c>
      <c r="D99" s="68" t="s">
        <v>104</v>
      </c>
    </row>
    <row r="100" spans="1:5" ht="45">
      <c r="B100" s="1" t="s">
        <v>12</v>
      </c>
      <c r="C100" s="53">
        <v>20696</v>
      </c>
      <c r="D100" s="69" t="s">
        <v>105</v>
      </c>
    </row>
    <row r="101" spans="1:5" ht="60">
      <c r="B101" s="1" t="s">
        <v>69</v>
      </c>
      <c r="C101" s="53">
        <v>11500</v>
      </c>
      <c r="D101" s="69" t="s">
        <v>106</v>
      </c>
    </row>
    <row r="102" spans="1:5" ht="25.5">
      <c r="B102" s="4" t="s">
        <v>36</v>
      </c>
      <c r="C102" s="53">
        <v>15000</v>
      </c>
      <c r="D102" s="29" t="s">
        <v>98</v>
      </c>
    </row>
    <row r="103" spans="1:5">
      <c r="C103" s="44">
        <f>SUM(C95:C102)</f>
        <v>255971.26</v>
      </c>
    </row>
    <row r="104" spans="1:5" ht="18.75">
      <c r="A104" s="94" t="s">
        <v>120</v>
      </c>
      <c r="B104" s="35" t="s">
        <v>121</v>
      </c>
    </row>
  </sheetData>
  <mergeCells count="10">
    <mergeCell ref="A1:D1"/>
    <mergeCell ref="A3:A6"/>
    <mergeCell ref="A7:A9"/>
    <mergeCell ref="A34:A45"/>
    <mergeCell ref="C31:C32"/>
    <mergeCell ref="A63:A67"/>
    <mergeCell ref="A69:A74"/>
    <mergeCell ref="A77:B77"/>
    <mergeCell ref="A47:A61"/>
    <mergeCell ref="A14:A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 2022</vt:lpstr>
      <vt:lpstr>Отчет по смете</vt:lpstr>
      <vt:lpstr>'Отчет по смете'!Область_печати</vt:lpstr>
      <vt:lpstr>'смета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COMPUTER</cp:lastModifiedBy>
  <cp:lastPrinted>2023-05-30T13:32:05Z</cp:lastPrinted>
  <dcterms:created xsi:type="dcterms:W3CDTF">2021-10-21T12:02:48Z</dcterms:created>
  <dcterms:modified xsi:type="dcterms:W3CDTF">2023-06-02T07:11:02Z</dcterms:modified>
</cp:coreProperties>
</file>